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8160" tabRatio="1000" activeTab="6"/>
  </bookViews>
  <sheets>
    <sheet name="kosong" sheetId="1" r:id="rId1"/>
    <sheet name="SOAL" sheetId="2" r:id="rId2"/>
    <sheet name="AJP" sheetId="3" r:id="rId3"/>
    <sheet name="NL" sheetId="4" r:id="rId4"/>
    <sheet name="LR" sheetId="5" r:id="rId5"/>
    <sheet name="Ekuitas" sheetId="6" r:id="rId6"/>
    <sheet name="NERACA" sheetId="7" r:id="rId7"/>
    <sheet name="RASIO KEUANGAN" sheetId="8" r:id="rId8"/>
  </sheets>
  <definedNames>
    <definedName name="_xlnm.Print_Area" localSheetId="0">'kosong'!$B$2:$L$46</definedName>
    <definedName name="_xlnm.Print_Area" localSheetId="1">'SOAL'!$A$1:$S$39</definedName>
  </definedNames>
  <calcPr fullCalcOnLoad="1"/>
</workbook>
</file>

<file path=xl/sharedStrings.xml><?xml version="1.0" encoding="utf-8"?>
<sst xmlns="http://schemas.openxmlformats.org/spreadsheetml/2006/main" count="364" uniqueCount="189">
  <si>
    <t>Uraian</t>
  </si>
  <si>
    <t>Neraca Saldo</t>
  </si>
  <si>
    <t xml:space="preserve">Penyesuaian </t>
  </si>
  <si>
    <t>NS Setelah disesuaikan</t>
  </si>
  <si>
    <t>Laba Rugi</t>
  </si>
  <si>
    <t>Neraca</t>
  </si>
  <si>
    <t>Debet</t>
  </si>
  <si>
    <t>Kredit</t>
  </si>
  <si>
    <t>Kas</t>
  </si>
  <si>
    <t>Persediaan Barang Dagangan</t>
  </si>
  <si>
    <t>Peralatan</t>
  </si>
  <si>
    <t>Akumulasi Depresiasi Peralatan</t>
  </si>
  <si>
    <t>-</t>
  </si>
  <si>
    <t>Retur Penjualan</t>
  </si>
  <si>
    <t>Potongan Penjualan</t>
  </si>
  <si>
    <t>Pembelian</t>
  </si>
  <si>
    <t>Potongan Pembelian</t>
  </si>
  <si>
    <t>Biaya Gaji</t>
  </si>
  <si>
    <t>Asuransi Dibayar Dimuka</t>
  </si>
  <si>
    <t xml:space="preserve"> </t>
  </si>
  <si>
    <t>Depresiasi Peralatan</t>
  </si>
  <si>
    <t>Biaya Asuransi</t>
  </si>
  <si>
    <t>Laporan Laba Rugi</t>
  </si>
  <si>
    <t>Harga Pokok Penjualan:</t>
  </si>
  <si>
    <t>Persediaan Barang Dagangan Awal</t>
  </si>
  <si>
    <t>Biaya Angkut Pembelian</t>
  </si>
  <si>
    <t>Pembelian Bersih</t>
  </si>
  <si>
    <t>Harga Pokok Pembelian</t>
  </si>
  <si>
    <t>Barang tersedia untuk dijual</t>
  </si>
  <si>
    <t>Persediaan Barang dagangan akhir</t>
  </si>
  <si>
    <t>Harga Pokok Penjualan</t>
  </si>
  <si>
    <t>Laba Kotor</t>
  </si>
  <si>
    <t>Biaya Operasional :</t>
  </si>
  <si>
    <t xml:space="preserve">Jumlah Biaya Operasional </t>
  </si>
  <si>
    <t>Laba Bersih</t>
  </si>
  <si>
    <t>Retur Pembelian</t>
  </si>
  <si>
    <t>TOTAL KEWAJIBAN+EKUITAS</t>
  </si>
  <si>
    <t>TOTAL AKTIVA</t>
  </si>
  <si>
    <t xml:space="preserve">Aktiva Tetap </t>
  </si>
  <si>
    <t>Modal</t>
  </si>
  <si>
    <t>Aktiva Lancar</t>
  </si>
  <si>
    <t>PASSIVA</t>
  </si>
  <si>
    <t>AKTIVA</t>
  </si>
  <si>
    <t>Neraca Lajur</t>
  </si>
  <si>
    <t>No.</t>
  </si>
  <si>
    <t>Keterangan</t>
  </si>
  <si>
    <t>Persediaan Barang Dagangan awal</t>
  </si>
  <si>
    <t>Diminta :</t>
  </si>
  <si>
    <t>Informasi Tambahan :</t>
  </si>
  <si>
    <t>Biaya Pengangkutan Pembelian</t>
  </si>
  <si>
    <t xml:space="preserve">Peralatan </t>
  </si>
  <si>
    <t>Biaya gaji</t>
  </si>
  <si>
    <t>Utang gaji</t>
  </si>
  <si>
    <t>Total Aktiva Lancar</t>
  </si>
  <si>
    <t>Total  Aktiva Tetap</t>
  </si>
  <si>
    <t>Per 31 Desember 2015</t>
  </si>
  <si>
    <t>Persediaan Barang Farmasi</t>
  </si>
  <si>
    <t xml:space="preserve">Bangunan </t>
  </si>
  <si>
    <t>Kendaraan</t>
  </si>
  <si>
    <t>Akumulasi Depresiasi Kendaraan</t>
  </si>
  <si>
    <t>Utang Usaha</t>
  </si>
  <si>
    <t>Utang PPh</t>
  </si>
  <si>
    <t>Utang Bank</t>
  </si>
  <si>
    <t>Modal Saham</t>
  </si>
  <si>
    <t>Laba Ditahan</t>
  </si>
  <si>
    <t xml:space="preserve">Deviden </t>
  </si>
  <si>
    <t>1. Buat jurnal penyesuaian per 31 Desember 2015 !</t>
  </si>
  <si>
    <t>2. Buat Neraca Lajur per 31 Desember 2015 !</t>
  </si>
  <si>
    <t>3. Susunlah Laporan Keuangan per 31 Desember 2015 !</t>
  </si>
  <si>
    <t>AYAT JURNAL PENYESUAIAN</t>
  </si>
  <si>
    <t>31 DESEMBER 2015</t>
  </si>
  <si>
    <t>HPP</t>
  </si>
  <si>
    <t>Untuk Tahun yang berakhir 31 Desember 2015</t>
  </si>
  <si>
    <t>Pendapatan :</t>
  </si>
  <si>
    <t>Pendapatan Bersih</t>
  </si>
  <si>
    <t>LABA DITAHAN</t>
  </si>
  <si>
    <t>LABA DITAHAN AWAL</t>
  </si>
  <si>
    <t>Deviden</t>
  </si>
  <si>
    <t>LABA DITAHAN AKHIR</t>
  </si>
  <si>
    <t>Akumulasi Depresiasi bangunan</t>
  </si>
  <si>
    <t>Akumulasi Depresiasi Bangunan</t>
  </si>
  <si>
    <t>Kewajiban Lancar</t>
  </si>
  <si>
    <t>Kewajiban Jgk Panjang</t>
  </si>
  <si>
    <t xml:space="preserve">Utang Bank </t>
  </si>
  <si>
    <t>Total Kewajiban Lancar</t>
  </si>
  <si>
    <t xml:space="preserve"> Modal Saham</t>
  </si>
  <si>
    <t>Piutang Usaha</t>
  </si>
  <si>
    <t>Per 31 Desember ……………………</t>
  </si>
  <si>
    <t>RUMAH SAKIT ……………………………………………………</t>
  </si>
  <si>
    <t xml:space="preserve">Utang Gaji </t>
  </si>
  <si>
    <t>Jumlah</t>
  </si>
  <si>
    <t xml:space="preserve">Bahan Habis Pakai </t>
  </si>
  <si>
    <t xml:space="preserve">Uang Muka Pasien </t>
  </si>
  <si>
    <t>RUMAH SAKIT "PT JANJI HATI"</t>
  </si>
  <si>
    <t>Pendapatan Rawat Inap</t>
  </si>
  <si>
    <t>Pendapatan Rawat Jalan</t>
  </si>
  <si>
    <t>Biaya Pemasaran</t>
  </si>
  <si>
    <t>Biaya Pelatihan dan Pengembangan</t>
  </si>
  <si>
    <t xml:space="preserve">Biaya Perbaikan </t>
  </si>
  <si>
    <t>Biaya Bunga</t>
  </si>
  <si>
    <t>1. Persediaan barang dagangan pada tanggal 31 Desember 2015 berjumlah Rp. 165.000.000,-</t>
  </si>
  <si>
    <t>2. Piutang yang tidak dapat ditagih ditaksir berjumlah Rp. 6.000.000,-</t>
  </si>
  <si>
    <t>3. Bahan Habis pakai yang tersisa di gudang berjumlah Rp. 3.000.000,-</t>
  </si>
  <si>
    <t>4. Asuransi yang diperhitungkan untuk tahun ini adalah Rp. 5.000.000,-</t>
  </si>
  <si>
    <t>5. Depresiasi Bangunan untuk tahun 2015 adalah Rp. 60.000.000,-</t>
  </si>
  <si>
    <t>6. Depresiasi Kendaraan untuk tahun 2015 adalah Rp. 40.000.000,-</t>
  </si>
  <si>
    <t>7. Depresiasi Peralatan untuk tahun 2015 adalah Rp. 17.500.000,-</t>
  </si>
  <si>
    <t>8. Gaji yang belum dibayar dan belum dicatat berjumlah Rp. 15.000.000,-</t>
  </si>
  <si>
    <t>10. Bunga bank yang diperhitungkan untuk desember 2015 adalah 5% dari utang bank</t>
  </si>
  <si>
    <t>9. Uang muka pasien rawat inap  yang diakui untuk 2015 adalah Rp. 20.000.000,-</t>
  </si>
  <si>
    <t>Biaya Kerugian Piutang</t>
  </si>
  <si>
    <t>Cadangan Kerugian Piutang</t>
  </si>
  <si>
    <t>Biaya pemakaian bahan habis pakai</t>
  </si>
  <si>
    <t>Bahan Habis Pakai</t>
  </si>
  <si>
    <t>Depresiasi Bangunan</t>
  </si>
  <si>
    <t>Depresiasi Kendaraan</t>
  </si>
  <si>
    <t>Uang muka pasien</t>
  </si>
  <si>
    <t>Pendapatan rawat inap</t>
  </si>
  <si>
    <t>Biaya bunga</t>
  </si>
  <si>
    <t>Utang bunga</t>
  </si>
  <si>
    <t>RUMAH SAKIT "PT. JANJI HATI "</t>
  </si>
  <si>
    <t>Laba Operasional</t>
  </si>
  <si>
    <t>Pendapatan dan Biaya Lain-Lain</t>
  </si>
  <si>
    <t>Laba Sebelum Pajak</t>
  </si>
  <si>
    <t>PPH (10%)</t>
  </si>
  <si>
    <t xml:space="preserve">Laba Bersih </t>
  </si>
  <si>
    <t>Penurunan Modal</t>
  </si>
  <si>
    <t xml:space="preserve">Piutang Bersih </t>
  </si>
  <si>
    <t>Utang Bunga</t>
  </si>
  <si>
    <t xml:space="preserve">Nilai Buku </t>
  </si>
  <si>
    <t xml:space="preserve">Total Modal </t>
  </si>
  <si>
    <t>RASIO LIKUIDITAS</t>
  </si>
  <si>
    <t>AKTIVA LANCAR</t>
  </si>
  <si>
    <t>UTANG LANCAR</t>
  </si>
  <si>
    <t xml:space="preserve">1. CURRENT RATIO = </t>
  </si>
  <si>
    <t>2. QUICK RATIO =</t>
  </si>
  <si>
    <t>AKT. LANCAR - PERSED.</t>
  </si>
  <si>
    <t>------------------------ =</t>
  </si>
  <si>
    <t>------------------------  =</t>
  </si>
  <si>
    <t>3. CASH RATIO =</t>
  </si>
  <si>
    <t>KAS</t>
  </si>
  <si>
    <t>KESIMPULAN</t>
  </si>
  <si>
    <t>BAIK</t>
  </si>
  <si>
    <t>BURUK</t>
  </si>
  <si>
    <t>RASIO LEVERAGE / SOLVABILITAS</t>
  </si>
  <si>
    <t>(DAR)</t>
  </si>
  <si>
    <t>1. DEBT TOTAL ASSET  =</t>
  </si>
  <si>
    <t xml:space="preserve">TOTAL UTANG </t>
  </si>
  <si>
    <t>TOTAL ASSET</t>
  </si>
  <si>
    <t>2. DEBT EQUITY RATIO  =</t>
  </si>
  <si>
    <t>(DER)</t>
  </si>
  <si>
    <t>TOTAL MODAL</t>
  </si>
  <si>
    <t>3. TIME INTEREST EARNED =</t>
  </si>
  <si>
    <t>(TIE)</t>
  </si>
  <si>
    <t>EBIT</t>
  </si>
  <si>
    <t>BUNGA</t>
  </si>
  <si>
    <t>4. FIXED CHARGED COVERAGE =</t>
  </si>
  <si>
    <t>EBIT + BIAYA SEWA</t>
  </si>
  <si>
    <t>BUNGA + BIAYA SEWA</t>
  </si>
  <si>
    <t>Total Kewajiban</t>
  </si>
  <si>
    <t>RASIO AKTIVITAS</t>
  </si>
  <si>
    <t>1. ASSET TURN OVER  =</t>
  </si>
  <si>
    <t>PENJUALAN</t>
  </si>
  <si>
    <t>TOTAL ASSETS</t>
  </si>
  <si>
    <t>2. WORKING CAPITAL TURN OVER=</t>
  </si>
  <si>
    <t>MODAL KERJA</t>
  </si>
  <si>
    <t>3. ACCOUNT RECEIVABLE TURNOVER</t>
  </si>
  <si>
    <t xml:space="preserve">RATA2 PIUTANG </t>
  </si>
  <si>
    <t>PENJUALAN KREDIT</t>
  </si>
  <si>
    <t>4. AVERAGE COLLECTION PERIODE</t>
  </si>
  <si>
    <t>(ARTO)</t>
  </si>
  <si>
    <t>360 HARI</t>
  </si>
  <si>
    <t>ARTO</t>
  </si>
  <si>
    <t>5. INVENTORY TURN OVER</t>
  </si>
  <si>
    <t>(ITO)</t>
  </si>
  <si>
    <t>HARGA POKOK PENJUALAN</t>
  </si>
  <si>
    <t>RATA2 PERSEDIAAN</t>
  </si>
  <si>
    <t>6. PERIODE PERPUTARAN PERSEDIAN</t>
  </si>
  <si>
    <t>ITO</t>
  </si>
  <si>
    <t>RASIO  PROFITABILITAS</t>
  </si>
  <si>
    <t>1. GROSS PROFIT MARGIN =</t>
  </si>
  <si>
    <t>LABA KOTOR</t>
  </si>
  <si>
    <t>2. NETT PROFIT MARGIN =</t>
  </si>
  <si>
    <t>LABA BERSIH</t>
  </si>
  <si>
    <t xml:space="preserve">PENJUALAN </t>
  </si>
  <si>
    <t>3. RETURN ON INVESTMENT =</t>
  </si>
  <si>
    <t>4. RETURN ON EQUITY =</t>
  </si>
  <si>
    <t>TOTAL MODAL SENDIRI</t>
  </si>
  <si>
    <t>RUMAH SAKIT "JANJI HATI"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</si>
</sst>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Rp-421]* #,##0_);_([$Rp-421]* \(#,##0\);_([$Rp-421]* &quot;-&quot;??_);_(@_)"/>
    <numFmt numFmtId="166" formatCode="_(* #,##0.0_);_(* \(#,##0.0\);_(* &quot;-&quot;?_);_(@_)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\,\ yyyy"/>
    <numFmt numFmtId="173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/>
      <right style="thin"/>
      <top/>
      <bottom style="double"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64" fontId="0" fillId="0" borderId="14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Alignment="1">
      <alignment horizontal="left"/>
    </xf>
    <xf numFmtId="164" fontId="0" fillId="0" borderId="19" xfId="42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20" xfId="0" applyFont="1" applyBorder="1" applyAlignment="1">
      <alignment/>
    </xf>
    <xf numFmtId="0" fontId="41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164" fontId="41" fillId="0" borderId="23" xfId="42" applyNumberFormat="1" applyFont="1" applyBorder="1" applyAlignment="1">
      <alignment/>
    </xf>
    <xf numFmtId="164" fontId="0" fillId="0" borderId="24" xfId="42" applyNumberFormat="1" applyFont="1" applyBorder="1" applyAlignment="1">
      <alignment/>
    </xf>
    <xf numFmtId="164" fontId="0" fillId="0" borderId="25" xfId="42" applyNumberFormat="1" applyFont="1" applyBorder="1" applyAlignment="1">
      <alignment/>
    </xf>
    <xf numFmtId="164" fontId="0" fillId="0" borderId="23" xfId="42" applyNumberFormat="1" applyFont="1" applyBorder="1" applyAlignment="1">
      <alignment/>
    </xf>
    <xf numFmtId="0" fontId="41" fillId="0" borderId="17" xfId="0" applyFont="1" applyBorder="1" applyAlignment="1">
      <alignment horizontal="left" indent="2"/>
    </xf>
    <xf numFmtId="164" fontId="41" fillId="0" borderId="26" xfId="42" applyNumberFormat="1" applyFont="1" applyBorder="1" applyAlignment="1">
      <alignment/>
    </xf>
    <xf numFmtId="164" fontId="41" fillId="0" borderId="27" xfId="42" applyNumberFormat="1" applyFont="1" applyBorder="1" applyAlignment="1">
      <alignment/>
    </xf>
    <xf numFmtId="0" fontId="41" fillId="0" borderId="0" xfId="0" applyFont="1" applyAlignment="1">
      <alignment/>
    </xf>
    <xf numFmtId="164" fontId="0" fillId="0" borderId="18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42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justify"/>
    </xf>
    <xf numFmtId="0" fontId="44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5" fontId="45" fillId="0" borderId="3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44" fillId="0" borderId="14" xfId="42" applyNumberFormat="1" applyFont="1" applyBorder="1" applyAlignment="1">
      <alignment horizontal="left" vertical="top" wrapText="1"/>
    </xf>
    <xf numFmtId="0" fontId="0" fillId="0" borderId="17" xfId="0" applyBorder="1" applyAlignment="1">
      <alignment horizontal="left" indent="2"/>
    </xf>
    <xf numFmtId="164" fontId="0" fillId="0" borderId="26" xfId="42" applyNumberFormat="1" applyFont="1" applyBorder="1" applyAlignment="1">
      <alignment/>
    </xf>
    <xf numFmtId="0" fontId="0" fillId="0" borderId="17" xfId="0" applyFont="1" applyBorder="1" applyAlignment="1">
      <alignment horizontal="left" indent="1"/>
    </xf>
    <xf numFmtId="164" fontId="0" fillId="0" borderId="22" xfId="42" applyNumberFormat="1" applyFont="1" applyBorder="1" applyAlignment="1">
      <alignment/>
    </xf>
    <xf numFmtId="0" fontId="41" fillId="0" borderId="17" xfId="0" applyFont="1" applyBorder="1" applyAlignment="1">
      <alignment horizontal="left"/>
    </xf>
    <xf numFmtId="0" fontId="0" fillId="0" borderId="16" xfId="0" applyBorder="1" applyAlignment="1">
      <alignment/>
    </xf>
    <xf numFmtId="164" fontId="41" fillId="0" borderId="30" xfId="0" applyNumberFormat="1" applyFont="1" applyBorder="1" applyAlignment="1">
      <alignment/>
    </xf>
    <xf numFmtId="164" fontId="41" fillId="0" borderId="31" xfId="0" applyNumberFormat="1" applyFont="1" applyBorder="1" applyAlignment="1">
      <alignment/>
    </xf>
    <xf numFmtId="0" fontId="45" fillId="0" borderId="32" xfId="0" applyFont="1" applyBorder="1" applyAlignment="1">
      <alignment horizontal="center"/>
    </xf>
    <xf numFmtId="164" fontId="45" fillId="0" borderId="32" xfId="42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165" fontId="43" fillId="0" borderId="13" xfId="42" applyNumberFormat="1" applyFont="1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33" xfId="0" applyFont="1" applyBorder="1" applyAlignment="1">
      <alignment/>
    </xf>
    <xf numFmtId="0" fontId="43" fillId="0" borderId="34" xfId="0" applyFont="1" applyBorder="1" applyAlignment="1">
      <alignment/>
    </xf>
    <xf numFmtId="165" fontId="43" fillId="0" borderId="14" xfId="42" applyNumberFormat="1" applyFont="1" applyBorder="1" applyAlignment="1">
      <alignment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/>
    </xf>
    <xf numFmtId="0" fontId="43" fillId="0" borderId="37" xfId="0" applyFont="1" applyBorder="1" applyAlignment="1">
      <alignment/>
    </xf>
    <xf numFmtId="165" fontId="43" fillId="0" borderId="35" xfId="42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Border="1" applyAlignment="1">
      <alignment/>
    </xf>
    <xf numFmtId="0" fontId="45" fillId="0" borderId="24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Border="1" applyAlignment="1">
      <alignment/>
    </xf>
    <xf numFmtId="164" fontId="43" fillId="0" borderId="0" xfId="42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164" fontId="45" fillId="0" borderId="23" xfId="0" applyNumberFormat="1" applyFont="1" applyBorder="1" applyAlignment="1">
      <alignment/>
    </xf>
    <xf numFmtId="164" fontId="45" fillId="0" borderId="23" xfId="42" applyNumberFormat="1" applyFont="1" applyBorder="1" applyAlignment="1">
      <alignment/>
    </xf>
    <xf numFmtId="0" fontId="45" fillId="0" borderId="0" xfId="0" applyFont="1" applyFill="1" applyBorder="1" applyAlignment="1">
      <alignment/>
    </xf>
    <xf numFmtId="164" fontId="43" fillId="0" borderId="19" xfId="42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45" fillId="0" borderId="27" xfId="0" applyNumberFormat="1" applyFont="1" applyBorder="1" applyAlignment="1">
      <alignment/>
    </xf>
    <xf numFmtId="164" fontId="43" fillId="0" borderId="23" xfId="0" applyNumberFormat="1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/>
    </xf>
    <xf numFmtId="164" fontId="47" fillId="0" borderId="14" xfId="42" applyNumberFormat="1" applyFont="1" applyBorder="1" applyAlignment="1">
      <alignment/>
    </xf>
    <xf numFmtId="164" fontId="47" fillId="0" borderId="14" xfId="42" applyNumberFormat="1" applyFont="1" applyBorder="1" applyAlignment="1">
      <alignment horizontal="center"/>
    </xf>
    <xf numFmtId="0" fontId="47" fillId="0" borderId="14" xfId="0" applyFont="1" applyBorder="1" applyAlignment="1">
      <alignment horizontal="justify" vertical="top" wrapText="1"/>
    </xf>
    <xf numFmtId="0" fontId="47" fillId="0" borderId="14" xfId="0" applyFont="1" applyFill="1" applyBorder="1" applyAlignment="1">
      <alignment/>
    </xf>
    <xf numFmtId="164" fontId="47" fillId="0" borderId="15" xfId="42" applyNumberFormat="1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35" xfId="0" applyFont="1" applyBorder="1" applyAlignment="1">
      <alignment/>
    </xf>
    <xf numFmtId="164" fontId="47" fillId="0" borderId="16" xfId="42" applyNumberFormat="1" applyFont="1" applyBorder="1" applyAlignment="1">
      <alignment/>
    </xf>
    <xf numFmtId="164" fontId="47" fillId="0" borderId="29" xfId="42" applyNumberFormat="1" applyFont="1" applyBorder="1" applyAlignment="1">
      <alignment/>
    </xf>
    <xf numFmtId="164" fontId="46" fillId="0" borderId="30" xfId="0" applyNumberFormat="1" applyFont="1" applyBorder="1" applyAlignment="1">
      <alignment/>
    </xf>
    <xf numFmtId="0" fontId="47" fillId="0" borderId="16" xfId="0" applyFont="1" applyBorder="1" applyAlignment="1">
      <alignment/>
    </xf>
    <xf numFmtId="164" fontId="46" fillId="0" borderId="31" xfId="0" applyNumberFormat="1" applyFont="1" applyBorder="1" applyAlignment="1">
      <alignment/>
    </xf>
    <xf numFmtId="0" fontId="47" fillId="0" borderId="38" xfId="0" applyFont="1" applyBorder="1" applyAlignment="1">
      <alignment/>
    </xf>
    <xf numFmtId="0" fontId="47" fillId="0" borderId="18" xfId="0" applyFont="1" applyBorder="1" applyAlignment="1">
      <alignment/>
    </xf>
    <xf numFmtId="164" fontId="47" fillId="0" borderId="18" xfId="0" applyNumberFormat="1" applyFont="1" applyBorder="1" applyAlignment="1">
      <alignment/>
    </xf>
    <xf numFmtId="164" fontId="47" fillId="0" borderId="28" xfId="0" applyNumberFormat="1" applyFont="1" applyBorder="1" applyAlignment="1">
      <alignment/>
    </xf>
    <xf numFmtId="0" fontId="47" fillId="0" borderId="0" xfId="0" applyFont="1" applyAlignment="1">
      <alignment/>
    </xf>
    <xf numFmtId="0" fontId="41" fillId="0" borderId="16" xfId="0" applyFont="1" applyFill="1" applyBorder="1" applyAlignment="1">
      <alignment horizontal="center" vertical="top" wrapText="1"/>
    </xf>
    <xf numFmtId="164" fontId="41" fillId="0" borderId="16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48" fillId="0" borderId="16" xfId="0" applyFont="1" applyBorder="1" applyAlignment="1">
      <alignment horizontal="center"/>
    </xf>
    <xf numFmtId="0" fontId="49" fillId="0" borderId="39" xfId="0" applyFont="1" applyBorder="1" applyAlignment="1">
      <alignment horizontal="justify" vertical="top" wrapText="1"/>
    </xf>
    <xf numFmtId="164" fontId="49" fillId="0" borderId="14" xfId="42" applyNumberFormat="1" applyFont="1" applyBorder="1" applyAlignment="1">
      <alignment/>
    </xf>
    <xf numFmtId="0" fontId="49" fillId="0" borderId="14" xfId="0" applyFont="1" applyBorder="1" applyAlignment="1">
      <alignment horizontal="justify" vertical="top" wrapText="1"/>
    </xf>
    <xf numFmtId="164" fontId="49" fillId="0" borderId="14" xfId="42" applyNumberFormat="1" applyFont="1" applyBorder="1" applyAlignment="1">
      <alignment horizontal="center"/>
    </xf>
    <xf numFmtId="0" fontId="49" fillId="0" borderId="15" xfId="0" applyFont="1" applyBorder="1" applyAlignment="1">
      <alignment horizontal="justify" vertical="top" wrapText="1"/>
    </xf>
    <xf numFmtId="164" fontId="49" fillId="0" borderId="15" xfId="42" applyNumberFormat="1" applyFont="1" applyBorder="1" applyAlignment="1">
      <alignment/>
    </xf>
    <xf numFmtId="0" fontId="49" fillId="0" borderId="15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justify" vertical="top" wrapText="1"/>
    </xf>
    <xf numFmtId="0" fontId="43" fillId="0" borderId="40" xfId="0" applyFont="1" applyBorder="1" applyAlignment="1">
      <alignment/>
    </xf>
    <xf numFmtId="0" fontId="43" fillId="0" borderId="41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 horizontal="justify" vertical="top" wrapText="1"/>
    </xf>
    <xf numFmtId="0" fontId="41" fillId="0" borderId="17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43" fillId="0" borderId="0" xfId="0" applyFont="1" applyBorder="1" applyAlignment="1">
      <alignment horizontal="right"/>
    </xf>
    <xf numFmtId="164" fontId="43" fillId="0" borderId="22" xfId="42" applyNumberFormat="1" applyFont="1" applyBorder="1" applyAlignment="1">
      <alignment/>
    </xf>
    <xf numFmtId="0" fontId="45" fillId="0" borderId="0" xfId="0" applyFont="1" applyBorder="1" applyAlignment="1">
      <alignment horizontal="right"/>
    </xf>
    <xf numFmtId="0" fontId="50" fillId="0" borderId="0" xfId="0" applyFont="1" applyAlignment="1">
      <alignment horizontal="center"/>
    </xf>
    <xf numFmtId="0" fontId="50" fillId="0" borderId="20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0" xfId="0" applyFont="1" applyBorder="1" applyAlignment="1">
      <alignment/>
    </xf>
    <xf numFmtId="164" fontId="45" fillId="0" borderId="25" xfId="42" applyNumberFormat="1" applyFont="1" applyBorder="1" applyAlignment="1">
      <alignment/>
    </xf>
    <xf numFmtId="164" fontId="45" fillId="0" borderId="42" xfId="42" applyNumberFormat="1" applyFont="1" applyBorder="1" applyAlignment="1">
      <alignment/>
    </xf>
    <xf numFmtId="0" fontId="43" fillId="0" borderId="0" xfId="0" applyFont="1" applyBorder="1" applyAlignment="1">
      <alignment horizontal="right" vertical="top" wrapText="1"/>
    </xf>
    <xf numFmtId="0" fontId="43" fillId="0" borderId="17" xfId="0" applyFont="1" applyBorder="1" applyAlignment="1">
      <alignment horizontal="right"/>
    </xf>
    <xf numFmtId="164" fontId="43" fillId="0" borderId="23" xfId="42" applyNumberFormat="1" applyFont="1" applyBorder="1" applyAlignment="1">
      <alignment/>
    </xf>
    <xf numFmtId="41" fontId="43" fillId="0" borderId="22" xfId="42" applyNumberFormat="1" applyFont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164" fontId="45" fillId="0" borderId="43" xfId="42" applyNumberFormat="1" applyFont="1" applyBorder="1" applyAlignment="1">
      <alignment/>
    </xf>
    <xf numFmtId="0" fontId="50" fillId="0" borderId="0" xfId="0" applyFont="1" applyAlignment="1">
      <alignment/>
    </xf>
    <xf numFmtId="0" fontId="43" fillId="0" borderId="0" xfId="0" applyFont="1" applyAlignment="1" quotePrefix="1">
      <alignment/>
    </xf>
    <xf numFmtId="164" fontId="4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 quotePrefix="1">
      <alignment horizontal="center"/>
    </xf>
    <xf numFmtId="164" fontId="43" fillId="0" borderId="0" xfId="42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0" fontId="43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41" fontId="44" fillId="0" borderId="0" xfId="43" applyFont="1" applyAlignment="1">
      <alignment horizontal="left" wrapText="1"/>
    </xf>
    <xf numFmtId="0" fontId="43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5" fillId="0" borderId="32" xfId="0" applyFont="1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3" fillId="0" borderId="33" xfId="0" applyFont="1" applyBorder="1" applyAlignment="1">
      <alignment horizontal="left"/>
    </xf>
    <xf numFmtId="0" fontId="43" fillId="0" borderId="34" xfId="0" applyFont="1" applyBorder="1" applyAlignment="1">
      <alignment horizontal="left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50" fillId="0" borderId="2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zoomScale="60" zoomScaleNormal="60" zoomScalePageLayoutView="0" workbookViewId="0" topLeftCell="A1">
      <selection activeCell="B2" sqref="B2:L46"/>
    </sheetView>
  </sheetViews>
  <sheetFormatPr defaultColWidth="9.140625" defaultRowHeight="15"/>
  <cols>
    <col min="1" max="1" width="3.7109375" style="0" customWidth="1"/>
    <col min="2" max="2" width="35.7109375" style="0" bestFit="1" customWidth="1"/>
    <col min="3" max="8" width="14.28125" style="0" bestFit="1" customWidth="1"/>
    <col min="9" max="9" width="12.57421875" style="0" bestFit="1" customWidth="1"/>
    <col min="10" max="10" width="14.28125" style="0" bestFit="1" customWidth="1"/>
    <col min="11" max="11" width="15.28125" style="0" customWidth="1"/>
    <col min="12" max="12" width="16.00390625" style="0" customWidth="1"/>
  </cols>
  <sheetData>
    <row r="2" spans="2:12" ht="18.75">
      <c r="B2" s="155" t="s">
        <v>88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2:12" ht="18.75">
      <c r="B3" s="155" t="s">
        <v>43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8.75">
      <c r="B4" s="155" t="s">
        <v>87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ht="15.75" thickBot="1"/>
    <row r="6" spans="2:12" s="1" customFormat="1" ht="17.25">
      <c r="B6" s="156" t="s">
        <v>0</v>
      </c>
      <c r="C6" s="158" t="s">
        <v>1</v>
      </c>
      <c r="D6" s="159"/>
      <c r="E6" s="159" t="s">
        <v>2</v>
      </c>
      <c r="F6" s="159"/>
      <c r="G6" s="159" t="s">
        <v>3</v>
      </c>
      <c r="H6" s="159"/>
      <c r="I6" s="159" t="s">
        <v>4</v>
      </c>
      <c r="J6" s="159"/>
      <c r="K6" s="159" t="s">
        <v>5</v>
      </c>
      <c r="L6" s="160"/>
    </row>
    <row r="7" spans="2:12" s="1" customFormat="1" ht="18" thickBot="1">
      <c r="B7" s="157"/>
      <c r="C7" s="88" t="s">
        <v>19</v>
      </c>
      <c r="D7" s="89" t="s">
        <v>7</v>
      </c>
      <c r="E7" s="89" t="s">
        <v>6</v>
      </c>
      <c r="F7" s="89" t="s">
        <v>7</v>
      </c>
      <c r="G7" s="89" t="s">
        <v>6</v>
      </c>
      <c r="H7" s="89" t="s">
        <v>7</v>
      </c>
      <c r="I7" s="89" t="s">
        <v>6</v>
      </c>
      <c r="J7" s="89" t="s">
        <v>7</v>
      </c>
      <c r="K7" s="89" t="s">
        <v>6</v>
      </c>
      <c r="L7" s="90" t="s">
        <v>7</v>
      </c>
    </row>
    <row r="8" spans="2:12" s="1" customFormat="1" ht="17.25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2:12" ht="17.25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2:12" ht="17.25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2:12" ht="17.25">
      <c r="B11" s="92"/>
      <c r="C11" s="94"/>
      <c r="D11" s="93"/>
      <c r="E11" s="93"/>
      <c r="F11" s="93"/>
      <c r="G11" s="93"/>
      <c r="H11" s="93"/>
      <c r="I11" s="93"/>
      <c r="J11" s="93"/>
      <c r="K11" s="93"/>
      <c r="L11" s="93"/>
    </row>
    <row r="12" spans="2:12" ht="17.25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2:12" ht="17.25"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2:12" ht="17.25">
      <c r="B14" s="95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2:12" ht="17.25">
      <c r="B15" s="95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2:12" ht="17.25">
      <c r="B16" s="95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 ht="17.25">
      <c r="B17" s="95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2:12" ht="17.25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2:12" ht="17.25">
      <c r="B19" s="92"/>
      <c r="C19" s="93"/>
      <c r="D19" s="94"/>
      <c r="E19" s="93"/>
      <c r="F19" s="93"/>
      <c r="G19" s="93"/>
      <c r="H19" s="93"/>
      <c r="I19" s="93"/>
      <c r="J19" s="93"/>
      <c r="K19" s="93"/>
      <c r="L19" s="93"/>
    </row>
    <row r="20" spans="2:12" ht="17.25">
      <c r="B20" s="95"/>
      <c r="C20" s="93"/>
      <c r="D20" s="94"/>
      <c r="E20" s="93"/>
      <c r="F20" s="93"/>
      <c r="G20" s="93"/>
      <c r="H20" s="94"/>
      <c r="I20" s="93"/>
      <c r="J20" s="93"/>
      <c r="K20" s="93"/>
      <c r="L20" s="94"/>
    </row>
    <row r="21" spans="2:12" ht="17.25">
      <c r="B21" s="95"/>
      <c r="C21" s="93"/>
      <c r="D21" s="94"/>
      <c r="E21" s="93"/>
      <c r="F21" s="93"/>
      <c r="G21" s="93"/>
      <c r="H21" s="94"/>
      <c r="I21" s="93"/>
      <c r="J21" s="93"/>
      <c r="K21" s="93"/>
      <c r="L21" s="94"/>
    </row>
    <row r="22" spans="2:12" ht="17.25">
      <c r="B22" s="95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2:12" ht="17.25">
      <c r="B23" s="95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2:12" ht="17.25">
      <c r="B24" s="95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2:12" ht="17.25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2:12" ht="17.25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2:12" ht="17.25"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12" ht="17.25"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12" ht="17.25"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12" ht="17.25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12" ht="17.25"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12" ht="17.25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 ht="17.25"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 ht="17.25">
      <c r="B34" s="96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2:12" ht="17.25">
      <c r="B35" s="96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 ht="17.25"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 ht="17.25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 ht="17.25"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2:12" ht="17.25"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2:12" ht="17.25">
      <c r="B40" s="96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 ht="17.25">
      <c r="B41" s="96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 ht="17.25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12" ht="17.25">
      <c r="B43" s="92"/>
      <c r="C43" s="97"/>
      <c r="D43" s="97"/>
      <c r="E43" s="97"/>
      <c r="F43" s="97"/>
      <c r="G43" s="97"/>
      <c r="H43" s="97"/>
      <c r="I43" s="98"/>
      <c r="J43" s="98"/>
      <c r="K43" s="98"/>
      <c r="L43" s="99"/>
    </row>
    <row r="44" spans="2:12" ht="17.25">
      <c r="B44" s="98"/>
      <c r="C44" s="100"/>
      <c r="D44" s="100"/>
      <c r="E44" s="100"/>
      <c r="F44" s="100"/>
      <c r="G44" s="100"/>
      <c r="H44" s="100"/>
      <c r="I44" s="100"/>
      <c r="J44" s="100"/>
      <c r="K44" s="100"/>
      <c r="L44" s="101"/>
    </row>
    <row r="45" spans="2:12" ht="18" thickBot="1">
      <c r="B45" s="98"/>
      <c r="C45" s="100"/>
      <c r="D45" s="100"/>
      <c r="E45" s="100"/>
      <c r="F45" s="100"/>
      <c r="G45" s="100"/>
      <c r="H45" s="100"/>
      <c r="I45" s="102"/>
      <c r="J45" s="103"/>
      <c r="K45" s="100"/>
      <c r="L45" s="104"/>
    </row>
    <row r="46" spans="2:12" ht="18.75" thickBot="1" thickTop="1">
      <c r="B46" s="105"/>
      <c r="C46" s="106"/>
      <c r="D46" s="106"/>
      <c r="E46" s="106"/>
      <c r="F46" s="106"/>
      <c r="G46" s="106"/>
      <c r="H46" s="106"/>
      <c r="I46" s="107"/>
      <c r="J46" s="107"/>
      <c r="K46" s="107"/>
      <c r="L46" s="108"/>
    </row>
    <row r="47" spans="2:12" ht="17.25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</row>
  </sheetData>
  <sheetProtection/>
  <mergeCells count="9">
    <mergeCell ref="B2:L2"/>
    <mergeCell ref="B3:L3"/>
    <mergeCell ref="B4:L4"/>
    <mergeCell ref="B6:B7"/>
    <mergeCell ref="C6:D6"/>
    <mergeCell ref="E6:F6"/>
    <mergeCell ref="G6:H6"/>
    <mergeCell ref="I6:J6"/>
    <mergeCell ref="K6:L6"/>
  </mergeCells>
  <printOptions/>
  <pageMargins left="0.2" right="0.12" top="0.12" bottom="0.1" header="0.05" footer="0.3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4.00390625" style="0" customWidth="1"/>
    <col min="2" max="2" width="27.7109375" style="0" customWidth="1"/>
    <col min="3" max="3" width="14.28125" style="0" customWidth="1"/>
    <col min="4" max="4" width="13.8515625" style="0" customWidth="1"/>
    <col min="5" max="5" width="3.8515625" style="0" customWidth="1"/>
    <col min="6" max="6" width="9.140625" style="0" customWidth="1"/>
    <col min="12" max="12" width="9.140625" style="0" customWidth="1"/>
    <col min="13" max="13" width="5.8515625" style="0" customWidth="1"/>
    <col min="14" max="14" width="9.140625" style="0" customWidth="1"/>
    <col min="15" max="15" width="5.421875" style="0" customWidth="1"/>
    <col min="16" max="16" width="2.00390625" style="0" customWidth="1"/>
    <col min="17" max="17" width="1.7109375" style="0" customWidth="1"/>
    <col min="18" max="18" width="1.28515625" style="0" customWidth="1"/>
    <col min="19" max="19" width="0.9921875" style="0" customWidth="1"/>
  </cols>
  <sheetData>
    <row r="1" spans="1:4" ht="17.25">
      <c r="A1" s="165" t="s">
        <v>93</v>
      </c>
      <c r="B1" s="165"/>
      <c r="C1" s="165"/>
      <c r="D1" s="165"/>
    </row>
    <row r="2" spans="1:4" ht="17.25">
      <c r="A2" s="165" t="s">
        <v>1</v>
      </c>
      <c r="B2" s="165"/>
      <c r="C2" s="165"/>
      <c r="D2" s="165"/>
    </row>
    <row r="3" spans="1:4" ht="17.25">
      <c r="A3" s="165" t="s">
        <v>55</v>
      </c>
      <c r="B3" s="165"/>
      <c r="C3" s="165"/>
      <c r="D3" s="165"/>
    </row>
    <row r="4" spans="2:3" ht="15.75">
      <c r="B4" s="37"/>
      <c r="C4" s="37"/>
    </row>
    <row r="5" spans="2:4" ht="15">
      <c r="B5" s="113" t="s">
        <v>45</v>
      </c>
      <c r="C5" s="113" t="s">
        <v>6</v>
      </c>
      <c r="D5" s="113" t="s">
        <v>7</v>
      </c>
    </row>
    <row r="6" spans="2:19" ht="19.5" customHeight="1">
      <c r="B6" s="114" t="s">
        <v>8</v>
      </c>
      <c r="C6" s="115">
        <f>70500000*1.2</f>
        <v>84600000</v>
      </c>
      <c r="D6" s="115">
        <f>0</f>
        <v>0</v>
      </c>
      <c r="F6" s="166" t="s">
        <v>48</v>
      </c>
      <c r="G6" s="166"/>
      <c r="H6" s="166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2:19" ht="19.5" customHeight="1">
      <c r="B7" s="116" t="s">
        <v>86</v>
      </c>
      <c r="C7" s="115">
        <f>105000000*1.2</f>
        <v>126000000</v>
      </c>
      <c r="D7" s="115">
        <f>0</f>
        <v>0</v>
      </c>
      <c r="E7" s="36"/>
      <c r="F7" s="164" t="s">
        <v>100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</row>
    <row r="8" spans="2:19" ht="19.5" customHeight="1">
      <c r="B8" s="116" t="s">
        <v>56</v>
      </c>
      <c r="C8" s="117">
        <f>132200000*1.2</f>
        <v>158640000</v>
      </c>
      <c r="D8" s="115">
        <f>0</f>
        <v>0</v>
      </c>
      <c r="F8" s="164" t="s">
        <v>101</v>
      </c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</row>
    <row r="9" spans="2:19" ht="19.5" customHeight="1">
      <c r="B9" s="116" t="s">
        <v>91</v>
      </c>
      <c r="C9" s="115">
        <f>8375000*1.2</f>
        <v>10050000</v>
      </c>
      <c r="D9" s="115">
        <f>0</f>
        <v>0</v>
      </c>
      <c r="F9" s="164" t="s">
        <v>102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</row>
    <row r="10" spans="2:19" ht="19.5" customHeight="1">
      <c r="B10" s="116" t="s">
        <v>18</v>
      </c>
      <c r="C10" s="115">
        <f>8600000*1.2</f>
        <v>10320000</v>
      </c>
      <c r="D10" s="115">
        <f>0</f>
        <v>0</v>
      </c>
      <c r="F10" s="164" t="s">
        <v>103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</row>
    <row r="11" spans="2:19" ht="19.5" customHeight="1">
      <c r="B11" s="116" t="s">
        <v>57</v>
      </c>
      <c r="C11" s="115">
        <f>2000000000*1.2</f>
        <v>2400000000</v>
      </c>
      <c r="D11" s="115"/>
      <c r="F11" s="164" t="s">
        <v>104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2:19" ht="19.5" customHeight="1">
      <c r="B12" s="116" t="s">
        <v>79</v>
      </c>
      <c r="C12" s="115"/>
      <c r="D12" s="115">
        <f>100000000*1.2</f>
        <v>120000000</v>
      </c>
      <c r="F12" s="164" t="s">
        <v>105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2:19" ht="19.5" customHeight="1">
      <c r="B13" s="116" t="s">
        <v>58</v>
      </c>
      <c r="C13" s="115">
        <f>1000000000*1.2</f>
        <v>1200000000</v>
      </c>
      <c r="D13" s="115"/>
      <c r="F13" s="164" t="s">
        <v>106</v>
      </c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</row>
    <row r="14" spans="2:19" ht="19.5" customHeight="1">
      <c r="B14" s="116" t="s">
        <v>59</v>
      </c>
      <c r="C14" s="115"/>
      <c r="D14" s="115">
        <f>50000000*1.2</f>
        <v>60000000</v>
      </c>
      <c r="F14" s="164" t="s">
        <v>107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</row>
    <row r="15" spans="2:19" ht="19.5" customHeight="1">
      <c r="B15" s="116" t="s">
        <v>50</v>
      </c>
      <c r="C15" s="115">
        <f>154200000*1.2</f>
        <v>185040000</v>
      </c>
      <c r="D15" s="115">
        <f>0</f>
        <v>0</v>
      </c>
      <c r="F15" s="164" t="s">
        <v>109</v>
      </c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</row>
    <row r="16" spans="2:19" ht="19.5" customHeight="1">
      <c r="B16" s="116" t="s">
        <v>11</v>
      </c>
      <c r="C16" s="115">
        <f>0</f>
        <v>0</v>
      </c>
      <c r="D16" s="117">
        <f>12850000*1.2</f>
        <v>15420000</v>
      </c>
      <c r="F16" s="164" t="s">
        <v>108</v>
      </c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</row>
    <row r="17" spans="2:19" ht="19.5" customHeight="1">
      <c r="B17" s="116" t="s">
        <v>60</v>
      </c>
      <c r="C17" s="115"/>
      <c r="D17" s="117">
        <f>50000000*1.2</f>
        <v>60000000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</row>
    <row r="18" spans="2:19" ht="19.5" customHeight="1">
      <c r="B18" s="116" t="s">
        <v>61</v>
      </c>
      <c r="C18" s="115"/>
      <c r="D18" s="117">
        <f>100000000*1.2</f>
        <v>120000000</v>
      </c>
      <c r="F18" s="166" t="s">
        <v>47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</row>
    <row r="19" spans="2:19" ht="19.5" customHeight="1">
      <c r="B19" s="116" t="s">
        <v>92</v>
      </c>
      <c r="C19" s="115">
        <f>0</f>
        <v>0</v>
      </c>
      <c r="D19" s="115">
        <f>40800000*1.2</f>
        <v>48960000</v>
      </c>
      <c r="F19" s="164" t="s">
        <v>66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</row>
    <row r="20" spans="2:19" ht="19.5" customHeight="1">
      <c r="B20" s="116" t="s">
        <v>89</v>
      </c>
      <c r="C20" s="115"/>
      <c r="D20" s="115"/>
      <c r="F20" s="164" t="s">
        <v>67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</row>
    <row r="21" spans="2:19" ht="19.5" customHeight="1">
      <c r="B21" s="116" t="s">
        <v>62</v>
      </c>
      <c r="C21" s="115"/>
      <c r="D21" s="115">
        <f>1200000000*1.2</f>
        <v>1440000000</v>
      </c>
      <c r="F21" s="164" t="s">
        <v>68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</row>
    <row r="22" spans="2:19" ht="19.5" customHeight="1">
      <c r="B22" s="116" t="s">
        <v>63</v>
      </c>
      <c r="C22" s="115">
        <f>0</f>
        <v>0</v>
      </c>
      <c r="D22" s="115">
        <f>1345000000*1.2</f>
        <v>1614000000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</row>
    <row r="23" spans="2:19" ht="19.5" customHeight="1">
      <c r="B23" s="116" t="s">
        <v>64</v>
      </c>
      <c r="C23" s="115">
        <f>0</f>
        <v>0</v>
      </c>
      <c r="D23" s="115">
        <f>500000000*1.2</f>
        <v>600000000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</row>
    <row r="24" spans="2:19" ht="19.5" customHeight="1">
      <c r="B24" s="116" t="s">
        <v>65</v>
      </c>
      <c r="C24" s="115">
        <f>156000000*1.2</f>
        <v>187200000</v>
      </c>
      <c r="D24" s="115">
        <f>0</f>
        <v>0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</row>
    <row r="25" spans="2:4" ht="19.5" customHeight="1">
      <c r="B25" s="116" t="s">
        <v>94</v>
      </c>
      <c r="C25" s="115"/>
      <c r="D25" s="115">
        <f>825000000*1.9</f>
        <v>1567500000</v>
      </c>
    </row>
    <row r="26" spans="2:4" ht="19.5" customHeight="1">
      <c r="B26" s="116" t="s">
        <v>95</v>
      </c>
      <c r="C26" s="115">
        <f>0</f>
        <v>0</v>
      </c>
      <c r="D26" s="115">
        <f>825000000*1.2</f>
        <v>990000000</v>
      </c>
    </row>
    <row r="27" spans="2:4" ht="19.5" customHeight="1">
      <c r="B27" s="116" t="s">
        <v>13</v>
      </c>
      <c r="C27" s="115">
        <f>12000000*1.2</f>
        <v>14400000</v>
      </c>
      <c r="D27" s="115">
        <f>0</f>
        <v>0</v>
      </c>
    </row>
    <row r="28" spans="2:4" ht="19.5" customHeight="1">
      <c r="B28" s="116" t="s">
        <v>14</v>
      </c>
      <c r="C28" s="115">
        <f>8250000*1.2</f>
        <v>9900000</v>
      </c>
      <c r="D28" s="115">
        <f>0</f>
        <v>0</v>
      </c>
    </row>
    <row r="29" spans="2:4" ht="19.5" customHeight="1">
      <c r="B29" s="116" t="s">
        <v>15</v>
      </c>
      <c r="C29" s="115">
        <f>500000000*1.2</f>
        <v>600000000</v>
      </c>
      <c r="D29" s="115">
        <f>0</f>
        <v>0</v>
      </c>
    </row>
    <row r="30" spans="2:4" ht="19.5" customHeight="1">
      <c r="B30" s="116" t="s">
        <v>35</v>
      </c>
      <c r="C30" s="115">
        <f>0</f>
        <v>0</v>
      </c>
      <c r="D30" s="115">
        <f>13400000*1.2</f>
        <v>16080000</v>
      </c>
    </row>
    <row r="31" spans="2:4" ht="19.5" customHeight="1">
      <c r="B31" s="116" t="s">
        <v>49</v>
      </c>
      <c r="C31" s="115">
        <f>5000000*1.2</f>
        <v>6000000</v>
      </c>
      <c r="D31" s="115">
        <f>0</f>
        <v>0</v>
      </c>
    </row>
    <row r="32" spans="2:4" ht="19.5" customHeight="1">
      <c r="B32" s="116" t="s">
        <v>16</v>
      </c>
      <c r="C32" s="115">
        <f>0</f>
        <v>0</v>
      </c>
      <c r="D32" s="115">
        <f>5000000*1.2</f>
        <v>6000000</v>
      </c>
    </row>
    <row r="33" spans="2:4" ht="19.5" customHeight="1">
      <c r="B33" s="118" t="s">
        <v>17</v>
      </c>
      <c r="C33" s="119">
        <f>81925000*1.2</f>
        <v>98310000</v>
      </c>
      <c r="D33" s="119"/>
    </row>
    <row r="34" spans="2:4" ht="19.5" customHeight="1">
      <c r="B34" s="118" t="s">
        <v>96</v>
      </c>
      <c r="C34" s="119">
        <f>0.5*D25</f>
        <v>783750000</v>
      </c>
      <c r="D34" s="119"/>
    </row>
    <row r="35" spans="2:4" ht="29.25" customHeight="1">
      <c r="B35" s="120" t="s">
        <v>97</v>
      </c>
      <c r="C35" s="119">
        <f>0.3*D25</f>
        <v>470250000</v>
      </c>
      <c r="D35" s="119"/>
    </row>
    <row r="36" spans="2:4" ht="19.5" customHeight="1">
      <c r="B36" s="118" t="s">
        <v>98</v>
      </c>
      <c r="C36" s="119">
        <f>0.15*D25</f>
        <v>235125000</v>
      </c>
      <c r="D36" s="119"/>
    </row>
    <row r="37" spans="2:20" ht="19.5" customHeight="1">
      <c r="B37" s="118" t="s">
        <v>99</v>
      </c>
      <c r="C37" s="119">
        <f>0.05*D25</f>
        <v>78375000</v>
      </c>
      <c r="D37" s="119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</row>
    <row r="38" spans="2:20" ht="19.5" customHeight="1">
      <c r="B38" s="118"/>
      <c r="C38" s="119"/>
      <c r="D38" s="119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</row>
    <row r="39" spans="2:20" ht="19.5" customHeight="1">
      <c r="B39" s="110" t="s">
        <v>90</v>
      </c>
      <c r="C39" s="111">
        <f>SUM(C6:C38)</f>
        <v>6657960000</v>
      </c>
      <c r="D39" s="111">
        <f>SUM(D6:D38)</f>
        <v>6657960000</v>
      </c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</row>
    <row r="40" spans="2:20" ht="19.5" customHeight="1">
      <c r="B40" s="121"/>
      <c r="C40" s="112">
        <f>+D39-C39</f>
        <v>0</v>
      </c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</row>
    <row r="41" spans="2:3" ht="15.75">
      <c r="B41" s="36"/>
      <c r="C41" s="36"/>
    </row>
    <row r="42" spans="2:10" ht="15.75" customHeight="1">
      <c r="B42" s="162"/>
      <c r="C42" s="162"/>
      <c r="D42" s="162"/>
      <c r="E42" s="162"/>
      <c r="F42" s="162"/>
      <c r="G42" s="162"/>
      <c r="H42" s="162"/>
      <c r="I42" s="162"/>
      <c r="J42" s="162"/>
    </row>
    <row r="43" spans="2:9" ht="15" customHeight="1">
      <c r="B43" s="162"/>
      <c r="C43" s="162"/>
      <c r="D43" s="162"/>
      <c r="E43" s="162"/>
      <c r="F43" s="162"/>
      <c r="G43" s="162"/>
      <c r="H43" s="162"/>
      <c r="I43" s="162"/>
    </row>
    <row r="44" spans="2:14" ht="15" customHeight="1"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2:9" ht="15" customHeight="1">
      <c r="B45" s="162"/>
      <c r="C45" s="162"/>
      <c r="D45" s="162"/>
      <c r="E45" s="162"/>
      <c r="F45" s="162"/>
      <c r="G45" s="162"/>
      <c r="H45" s="162"/>
      <c r="I45" s="162"/>
    </row>
    <row r="46" spans="2:9" ht="15" customHeight="1">
      <c r="B46" s="163"/>
      <c r="C46" s="163"/>
      <c r="D46" s="163"/>
      <c r="E46" s="163"/>
      <c r="F46" s="163"/>
      <c r="G46" s="163"/>
      <c r="H46" s="163"/>
      <c r="I46" s="163"/>
    </row>
    <row r="47" spans="2:3" ht="15.75">
      <c r="B47" s="36"/>
      <c r="C47" s="36"/>
    </row>
    <row r="48" spans="2:3" ht="15.75">
      <c r="B48" s="36"/>
      <c r="C48" s="36"/>
    </row>
    <row r="49" spans="2:7" ht="15.75">
      <c r="B49" s="161"/>
      <c r="C49" s="161"/>
      <c r="D49" s="161"/>
      <c r="E49" s="161"/>
      <c r="F49" s="161"/>
      <c r="G49" s="161"/>
    </row>
    <row r="50" spans="2:7" ht="15.75">
      <c r="B50" s="161"/>
      <c r="C50" s="161"/>
      <c r="D50" s="161"/>
      <c r="E50" s="161"/>
      <c r="F50" s="161"/>
      <c r="G50" s="14"/>
    </row>
    <row r="51" spans="2:7" ht="15.75">
      <c r="B51" s="161"/>
      <c r="C51" s="161"/>
      <c r="D51" s="161"/>
      <c r="E51" s="161"/>
      <c r="F51" s="161"/>
      <c r="G51" s="14"/>
    </row>
    <row r="52" spans="2:3" ht="15.75">
      <c r="B52" s="36"/>
      <c r="C52" s="36"/>
    </row>
    <row r="53" spans="2:3" ht="15.75">
      <c r="B53" s="36"/>
      <c r="C53" s="36"/>
    </row>
    <row r="54" spans="2:3" ht="15.75">
      <c r="B54" s="36"/>
      <c r="C54" s="36"/>
    </row>
  </sheetData>
  <sheetProtection/>
  <mergeCells count="34">
    <mergeCell ref="F7:S7"/>
    <mergeCell ref="F8:S8"/>
    <mergeCell ref="F9:S9"/>
    <mergeCell ref="F10:S10"/>
    <mergeCell ref="F12:S12"/>
    <mergeCell ref="F13:S13"/>
    <mergeCell ref="F18:S18"/>
    <mergeCell ref="B42:J42"/>
    <mergeCell ref="G37:T37"/>
    <mergeCell ref="G38:T38"/>
    <mergeCell ref="G39:T39"/>
    <mergeCell ref="G40:T40"/>
    <mergeCell ref="F21:S21"/>
    <mergeCell ref="F22:S22"/>
    <mergeCell ref="F23:S23"/>
    <mergeCell ref="F24:S24"/>
    <mergeCell ref="A1:D1"/>
    <mergeCell ref="A2:D2"/>
    <mergeCell ref="A3:D3"/>
    <mergeCell ref="B49:G49"/>
    <mergeCell ref="F6:H6"/>
    <mergeCell ref="F11:S11"/>
    <mergeCell ref="F15:S15"/>
    <mergeCell ref="F16:S16"/>
    <mergeCell ref="F14:S14"/>
    <mergeCell ref="F17:S17"/>
    <mergeCell ref="B51:F51"/>
    <mergeCell ref="B50:F50"/>
    <mergeCell ref="B43:I43"/>
    <mergeCell ref="B45:I45"/>
    <mergeCell ref="B46:I46"/>
    <mergeCell ref="F19:S19"/>
    <mergeCell ref="F20:S20"/>
    <mergeCell ref="B44:N44"/>
  </mergeCells>
  <printOptions/>
  <pageMargins left="0.12" right="0.12" top="0.37" bottom="0.13" header="0.28" footer="0.11"/>
  <pageSetup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6.7109375" style="0" customWidth="1"/>
    <col min="3" max="3" width="5.8515625" style="0" customWidth="1"/>
    <col min="4" max="4" width="40.57421875" style="0" customWidth="1"/>
    <col min="5" max="5" width="22.28125" style="38" bestFit="1" customWidth="1"/>
    <col min="6" max="6" width="19.57421875" style="38" bestFit="1" customWidth="1"/>
  </cols>
  <sheetData>
    <row r="1" spans="1:7" ht="15">
      <c r="A1" s="169" t="s">
        <v>120</v>
      </c>
      <c r="B1" s="169"/>
      <c r="C1" s="169"/>
      <c r="D1" s="169"/>
      <c r="E1" s="169"/>
      <c r="F1" s="169"/>
      <c r="G1" s="169"/>
    </row>
    <row r="2" spans="1:7" ht="15">
      <c r="A2" s="169" t="s">
        <v>69</v>
      </c>
      <c r="B2" s="169"/>
      <c r="C2" s="169"/>
      <c r="D2" s="169"/>
      <c r="E2" s="169"/>
      <c r="F2" s="169"/>
      <c r="G2" s="169"/>
    </row>
    <row r="3" spans="1:7" ht="15">
      <c r="A3" s="169" t="s">
        <v>70</v>
      </c>
      <c r="B3" s="169"/>
      <c r="C3" s="169"/>
      <c r="D3" s="169"/>
      <c r="E3" s="169"/>
      <c r="F3" s="169"/>
      <c r="G3" s="169"/>
    </row>
    <row r="5" spans="2:6" ht="16.5" thickBot="1">
      <c r="B5" s="50" t="s">
        <v>44</v>
      </c>
      <c r="C5" s="167" t="s">
        <v>45</v>
      </c>
      <c r="D5" s="167"/>
      <c r="E5" s="51" t="s">
        <v>6</v>
      </c>
      <c r="F5" s="51" t="s">
        <v>7</v>
      </c>
    </row>
    <row r="6" spans="2:6" ht="15.75">
      <c r="B6" s="52">
        <v>1</v>
      </c>
      <c r="C6" s="168" t="s">
        <v>9</v>
      </c>
      <c r="D6" s="168"/>
      <c r="E6" s="53">
        <v>165000000</v>
      </c>
      <c r="F6" s="53">
        <f>0</f>
        <v>0</v>
      </c>
    </row>
    <row r="7" spans="2:6" ht="15.75">
      <c r="B7" s="54"/>
      <c r="C7" s="55"/>
      <c r="D7" s="56" t="s">
        <v>71</v>
      </c>
      <c r="E7" s="57">
        <f>0</f>
        <v>0</v>
      </c>
      <c r="F7" s="57">
        <f>E6</f>
        <v>165000000</v>
      </c>
    </row>
    <row r="8" spans="2:6" ht="15.75">
      <c r="B8" s="54"/>
      <c r="C8" s="170" t="s">
        <v>71</v>
      </c>
      <c r="D8" s="171"/>
      <c r="E8" s="41">
        <v>158640000</v>
      </c>
      <c r="F8" s="57">
        <f>0</f>
        <v>0</v>
      </c>
    </row>
    <row r="9" spans="2:6" ht="15.75">
      <c r="B9" s="54"/>
      <c r="C9" s="55"/>
      <c r="D9" s="56" t="s">
        <v>46</v>
      </c>
      <c r="E9" s="41">
        <f>0</f>
        <v>0</v>
      </c>
      <c r="F9" s="41">
        <f>+E8</f>
        <v>158640000</v>
      </c>
    </row>
    <row r="10" spans="2:6" ht="15.75">
      <c r="B10" s="54">
        <v>2</v>
      </c>
      <c r="C10" s="55" t="s">
        <v>110</v>
      </c>
      <c r="D10" s="56"/>
      <c r="E10" s="57">
        <v>6000000</v>
      </c>
      <c r="F10" s="57">
        <f>0</f>
        <v>0</v>
      </c>
    </row>
    <row r="11" spans="2:6" ht="15.75">
      <c r="B11" s="54"/>
      <c r="C11" s="55"/>
      <c r="D11" s="56" t="s">
        <v>111</v>
      </c>
      <c r="E11" s="57">
        <f>0</f>
        <v>0</v>
      </c>
      <c r="F11" s="57">
        <f>E10</f>
        <v>6000000</v>
      </c>
    </row>
    <row r="12" spans="2:6" ht="15.75">
      <c r="B12" s="54">
        <v>3</v>
      </c>
      <c r="C12" s="55" t="s">
        <v>112</v>
      </c>
      <c r="D12" s="56"/>
      <c r="E12" s="57">
        <v>7050000</v>
      </c>
      <c r="F12" s="57">
        <f>0</f>
        <v>0</v>
      </c>
    </row>
    <row r="13" spans="2:6" ht="15.75">
      <c r="B13" s="54"/>
      <c r="C13" s="55"/>
      <c r="D13" s="56" t="s">
        <v>113</v>
      </c>
      <c r="E13" s="57">
        <f>0</f>
        <v>0</v>
      </c>
      <c r="F13" s="57">
        <f>E12</f>
        <v>7050000</v>
      </c>
    </row>
    <row r="14" spans="2:6" ht="15.75">
      <c r="B14" s="54">
        <v>4</v>
      </c>
      <c r="C14" s="55" t="s">
        <v>21</v>
      </c>
      <c r="D14" s="56"/>
      <c r="E14" s="57">
        <v>5000000</v>
      </c>
      <c r="F14" s="57">
        <f>0</f>
        <v>0</v>
      </c>
    </row>
    <row r="15" spans="2:6" ht="15.75">
      <c r="B15" s="54"/>
      <c r="C15" s="55"/>
      <c r="D15" s="56" t="s">
        <v>18</v>
      </c>
      <c r="E15" s="57">
        <f>0</f>
        <v>0</v>
      </c>
      <c r="F15" s="57">
        <f>E14</f>
        <v>5000000</v>
      </c>
    </row>
    <row r="16" spans="2:6" ht="15.75">
      <c r="B16" s="54">
        <v>5</v>
      </c>
      <c r="C16" s="55" t="s">
        <v>114</v>
      </c>
      <c r="D16" s="56"/>
      <c r="E16" s="57">
        <v>60000000</v>
      </c>
      <c r="F16" s="57">
        <f>0</f>
        <v>0</v>
      </c>
    </row>
    <row r="17" spans="2:6" ht="15.75">
      <c r="B17" s="54"/>
      <c r="C17" s="55"/>
      <c r="D17" s="56" t="s">
        <v>80</v>
      </c>
      <c r="E17" s="57">
        <f>0</f>
        <v>0</v>
      </c>
      <c r="F17" s="57">
        <f>E16</f>
        <v>60000000</v>
      </c>
    </row>
    <row r="18" spans="2:6" ht="15.75">
      <c r="B18" s="54">
        <v>6</v>
      </c>
      <c r="C18" s="55" t="s">
        <v>115</v>
      </c>
      <c r="D18" s="56"/>
      <c r="E18" s="57">
        <v>40000000</v>
      </c>
      <c r="F18" s="57">
        <f>0</f>
        <v>0</v>
      </c>
    </row>
    <row r="19" spans="2:6" ht="15.75">
      <c r="B19" s="54"/>
      <c r="C19" s="55"/>
      <c r="D19" s="56" t="s">
        <v>59</v>
      </c>
      <c r="E19" s="57">
        <f>0</f>
        <v>0</v>
      </c>
      <c r="F19" s="57">
        <f>E18</f>
        <v>40000000</v>
      </c>
    </row>
    <row r="20" spans="2:6" ht="15.75">
      <c r="B20" s="54">
        <v>7</v>
      </c>
      <c r="C20" s="55" t="s">
        <v>20</v>
      </c>
      <c r="D20" s="56"/>
      <c r="E20" s="57">
        <v>17500000</v>
      </c>
      <c r="F20" s="57">
        <f>0</f>
        <v>0</v>
      </c>
    </row>
    <row r="21" spans="2:6" ht="15.75">
      <c r="B21" s="54"/>
      <c r="C21" s="55"/>
      <c r="D21" s="56" t="s">
        <v>11</v>
      </c>
      <c r="E21" s="57">
        <f>0</f>
        <v>0</v>
      </c>
      <c r="F21" s="57">
        <f>E20</f>
        <v>17500000</v>
      </c>
    </row>
    <row r="22" spans="2:6" ht="15.75">
      <c r="B22" s="54">
        <v>8</v>
      </c>
      <c r="C22" s="55" t="s">
        <v>51</v>
      </c>
      <c r="D22" s="56"/>
      <c r="E22" s="57">
        <v>15000000</v>
      </c>
      <c r="F22" s="57">
        <f>0</f>
        <v>0</v>
      </c>
    </row>
    <row r="23" spans="2:6" ht="15.75">
      <c r="B23" s="54"/>
      <c r="C23" s="59"/>
      <c r="D23" s="60" t="s">
        <v>52</v>
      </c>
      <c r="E23" s="57">
        <f>0</f>
        <v>0</v>
      </c>
      <c r="F23" s="57">
        <f>E22</f>
        <v>15000000</v>
      </c>
    </row>
    <row r="24" spans="2:6" ht="15.75">
      <c r="B24" s="54">
        <v>9</v>
      </c>
      <c r="C24" s="122" t="s">
        <v>116</v>
      </c>
      <c r="D24" s="123"/>
      <c r="E24" s="57">
        <v>20000000</v>
      </c>
      <c r="F24" s="57">
        <f>0</f>
        <v>0</v>
      </c>
    </row>
    <row r="25" spans="2:6" ht="15.75">
      <c r="B25" s="54"/>
      <c r="C25" s="55"/>
      <c r="D25" s="56" t="s">
        <v>117</v>
      </c>
      <c r="E25" s="57">
        <f>0</f>
        <v>0</v>
      </c>
      <c r="F25" s="57">
        <f>E24</f>
        <v>20000000</v>
      </c>
    </row>
    <row r="26" spans="2:6" ht="15.75">
      <c r="B26" s="54">
        <v>10</v>
      </c>
      <c r="C26" s="55" t="s">
        <v>118</v>
      </c>
      <c r="D26" s="56"/>
      <c r="E26" s="57">
        <v>72000000</v>
      </c>
      <c r="F26" s="57">
        <f>0</f>
        <v>0</v>
      </c>
    </row>
    <row r="27" spans="2:6" ht="15.75">
      <c r="B27" s="54"/>
      <c r="C27" s="55"/>
      <c r="D27" s="56" t="s">
        <v>119</v>
      </c>
      <c r="E27" s="57">
        <f>0</f>
        <v>0</v>
      </c>
      <c r="F27" s="57">
        <f>SUM(E25:E26)</f>
        <v>72000000</v>
      </c>
    </row>
    <row r="28" spans="2:6" ht="15.75">
      <c r="B28" s="54"/>
      <c r="C28" s="55"/>
      <c r="D28" s="56"/>
      <c r="E28" s="57"/>
      <c r="F28" s="57"/>
    </row>
    <row r="29" spans="2:6" ht="15.75">
      <c r="B29" s="58"/>
      <c r="C29" s="59"/>
      <c r="D29" s="60"/>
      <c r="E29" s="61"/>
      <c r="F29" s="61"/>
    </row>
    <row r="30" spans="2:6" ht="16.5" thickBot="1">
      <c r="B30" s="34"/>
      <c r="C30" s="35"/>
      <c r="D30" s="35"/>
      <c r="E30" s="39">
        <f>SUM(E6:E29)</f>
        <v>566190000</v>
      </c>
      <c r="F30" s="39">
        <f>SUM(F6:F29)</f>
        <v>566190000</v>
      </c>
    </row>
    <row r="31" spans="5:6" ht="15.75" thickTop="1">
      <c r="E31" s="40"/>
      <c r="F31" s="40"/>
    </row>
  </sheetData>
  <sheetProtection/>
  <mergeCells count="6">
    <mergeCell ref="C5:D5"/>
    <mergeCell ref="C6:D6"/>
    <mergeCell ref="A1:G1"/>
    <mergeCell ref="A2:G2"/>
    <mergeCell ref="A3:G3"/>
    <mergeCell ref="C8:D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55"/>
  <sheetViews>
    <sheetView zoomScale="90" zoomScaleNormal="90" zoomScalePageLayoutView="0" workbookViewId="0" topLeftCell="A25">
      <selection activeCell="K17" sqref="K17"/>
    </sheetView>
  </sheetViews>
  <sheetFormatPr defaultColWidth="9.140625" defaultRowHeight="15"/>
  <cols>
    <col min="1" max="1" width="3.7109375" style="0" customWidth="1"/>
    <col min="2" max="2" width="37.57421875" style="0" customWidth="1"/>
    <col min="3" max="3" width="17.00390625" style="0" customWidth="1"/>
    <col min="4" max="4" width="18.00390625" style="0" customWidth="1"/>
    <col min="5" max="6" width="14.28125" style="0" bestFit="1" customWidth="1"/>
    <col min="7" max="7" width="16.8515625" style="0" customWidth="1"/>
    <col min="8" max="8" width="17.28125" style="0" customWidth="1"/>
    <col min="9" max="9" width="15.8515625" style="0" customWidth="1"/>
    <col min="10" max="10" width="15.57421875" style="0" customWidth="1"/>
    <col min="11" max="11" width="15.28125" style="0" customWidth="1"/>
    <col min="12" max="12" width="16.00390625" style="0" customWidth="1"/>
  </cols>
  <sheetData>
    <row r="2" spans="2:12" ht="15">
      <c r="B2" s="169" t="s">
        <v>120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2" ht="15">
      <c r="B3" s="169" t="s">
        <v>43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2:12" ht="15">
      <c r="B4" s="169" t="s">
        <v>55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ht="15.75" thickBot="1"/>
    <row r="6" spans="2:12" s="1" customFormat="1" ht="15">
      <c r="B6" s="172" t="s">
        <v>0</v>
      </c>
      <c r="C6" s="174" t="s">
        <v>1</v>
      </c>
      <c r="D6" s="175"/>
      <c r="E6" s="175" t="s">
        <v>2</v>
      </c>
      <c r="F6" s="175"/>
      <c r="G6" s="175" t="s">
        <v>3</v>
      </c>
      <c r="H6" s="175"/>
      <c r="I6" s="175" t="s">
        <v>4</v>
      </c>
      <c r="J6" s="175"/>
      <c r="K6" s="175" t="s">
        <v>5</v>
      </c>
      <c r="L6" s="176"/>
    </row>
    <row r="7" spans="2:12" s="1" customFormat="1" ht="15.75" thickBot="1">
      <c r="B7" s="173"/>
      <c r="C7" s="2" t="s">
        <v>6</v>
      </c>
      <c r="D7" s="3" t="s">
        <v>7</v>
      </c>
      <c r="E7" s="3" t="s">
        <v>6</v>
      </c>
      <c r="F7" s="3" t="s">
        <v>7</v>
      </c>
      <c r="G7" s="3" t="s">
        <v>6</v>
      </c>
      <c r="H7" s="3" t="s">
        <v>7</v>
      </c>
      <c r="I7" s="3" t="s">
        <v>6</v>
      </c>
      <c r="J7" s="3" t="s">
        <v>7</v>
      </c>
      <c r="K7" s="3" t="s">
        <v>6</v>
      </c>
      <c r="L7" s="4" t="s">
        <v>7</v>
      </c>
    </row>
    <row r="8" spans="2:12" s="1" customFormat="1" ht="1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15">
      <c r="B9" s="114" t="s">
        <v>8</v>
      </c>
      <c r="C9" s="115">
        <f>70500000*1.2</f>
        <v>84600000</v>
      </c>
      <c r="D9" s="115">
        <f>0</f>
        <v>0</v>
      </c>
      <c r="E9" s="6">
        <f>0</f>
        <v>0</v>
      </c>
      <c r="F9" s="6">
        <f>0</f>
        <v>0</v>
      </c>
      <c r="G9" s="6">
        <f aca="true" t="shared" si="0" ref="G9:G18">(C9+E9)-(D9+F9)</f>
        <v>84600000</v>
      </c>
      <c r="H9" s="6">
        <f>0</f>
        <v>0</v>
      </c>
      <c r="I9" s="6">
        <f>0</f>
        <v>0</v>
      </c>
      <c r="J9" s="6">
        <f>0</f>
        <v>0</v>
      </c>
      <c r="K9" s="6">
        <f>G9</f>
        <v>84600000</v>
      </c>
      <c r="L9" s="6">
        <f>H9</f>
        <v>0</v>
      </c>
    </row>
    <row r="10" spans="2:12" ht="15">
      <c r="B10" s="116" t="s">
        <v>86</v>
      </c>
      <c r="C10" s="115">
        <f>105000000*1.2</f>
        <v>126000000</v>
      </c>
      <c r="D10" s="115">
        <f>0</f>
        <v>0</v>
      </c>
      <c r="E10" s="6">
        <f>0</f>
        <v>0</v>
      </c>
      <c r="F10" s="6">
        <f>0</f>
        <v>0</v>
      </c>
      <c r="G10" s="6">
        <f t="shared" si="0"/>
        <v>126000000</v>
      </c>
      <c r="H10" s="6">
        <f>0</f>
        <v>0</v>
      </c>
      <c r="I10" s="6">
        <f>0</f>
        <v>0</v>
      </c>
      <c r="J10" s="6">
        <f>0</f>
        <v>0</v>
      </c>
      <c r="K10" s="6">
        <f>G10</f>
        <v>126000000</v>
      </c>
      <c r="L10" s="6">
        <f aca="true" t="shared" si="1" ref="L10:L19">H10</f>
        <v>0</v>
      </c>
    </row>
    <row r="11" spans="2:12" ht="15">
      <c r="B11" s="116" t="s">
        <v>56</v>
      </c>
      <c r="C11" s="117">
        <f>132200000*1.2</f>
        <v>158640000</v>
      </c>
      <c r="D11" s="115">
        <f>0</f>
        <v>0</v>
      </c>
      <c r="E11" s="6">
        <v>165000000</v>
      </c>
      <c r="F11" s="6">
        <v>158640000</v>
      </c>
      <c r="G11" s="6">
        <f t="shared" si="0"/>
        <v>165000000</v>
      </c>
      <c r="H11" s="6">
        <f>0</f>
        <v>0</v>
      </c>
      <c r="I11" s="6">
        <f>0</f>
        <v>0</v>
      </c>
      <c r="J11" s="6">
        <f>0</f>
        <v>0</v>
      </c>
      <c r="K11" s="6">
        <f>G11</f>
        <v>165000000</v>
      </c>
      <c r="L11" s="6">
        <f t="shared" si="1"/>
        <v>0</v>
      </c>
    </row>
    <row r="12" spans="2:12" ht="15">
      <c r="B12" s="116" t="s">
        <v>91</v>
      </c>
      <c r="C12" s="115">
        <f>8375000*1.2</f>
        <v>10050000</v>
      </c>
      <c r="D12" s="115">
        <f>0</f>
        <v>0</v>
      </c>
      <c r="E12" s="6"/>
      <c r="F12" s="6">
        <v>7050000</v>
      </c>
      <c r="G12" s="6">
        <f>(C12+E12)-(D12+F12)</f>
        <v>3000000</v>
      </c>
      <c r="H12" s="6">
        <f>0</f>
        <v>0</v>
      </c>
      <c r="I12" s="6">
        <f>0</f>
        <v>0</v>
      </c>
      <c r="J12" s="6">
        <f>0</f>
        <v>0</v>
      </c>
      <c r="K12" s="6">
        <f>G12</f>
        <v>3000000</v>
      </c>
      <c r="L12" s="6">
        <f t="shared" si="1"/>
        <v>0</v>
      </c>
    </row>
    <row r="13" spans="2:12" ht="15">
      <c r="B13" s="116" t="s">
        <v>18</v>
      </c>
      <c r="C13" s="115">
        <f>8600000*1.2</f>
        <v>10320000</v>
      </c>
      <c r="D13" s="115">
        <f>0</f>
        <v>0</v>
      </c>
      <c r="E13" s="6"/>
      <c r="F13" s="6">
        <v>5000000</v>
      </c>
      <c r="G13" s="6">
        <f t="shared" si="0"/>
        <v>5320000</v>
      </c>
      <c r="H13" s="6">
        <f>0</f>
        <v>0</v>
      </c>
      <c r="I13" s="6">
        <f>0</f>
        <v>0</v>
      </c>
      <c r="J13" s="6">
        <f>0</f>
        <v>0</v>
      </c>
      <c r="K13" s="6">
        <f>G13</f>
        <v>5320000</v>
      </c>
      <c r="L13" s="6">
        <f t="shared" si="1"/>
        <v>0</v>
      </c>
    </row>
    <row r="14" spans="2:12" ht="15">
      <c r="B14" s="116" t="s">
        <v>57</v>
      </c>
      <c r="C14" s="115">
        <f>2000000000*1.2</f>
        <v>2400000000</v>
      </c>
      <c r="D14" s="115"/>
      <c r="E14" s="6"/>
      <c r="F14" s="6"/>
      <c r="G14" s="6">
        <f t="shared" si="0"/>
        <v>2400000000</v>
      </c>
      <c r="H14" s="6"/>
      <c r="I14" s="6"/>
      <c r="J14" s="6"/>
      <c r="K14" s="6">
        <f>G14</f>
        <v>2400000000</v>
      </c>
      <c r="L14" s="6"/>
    </row>
    <row r="15" spans="2:12" ht="15">
      <c r="B15" s="116" t="s">
        <v>79</v>
      </c>
      <c r="C15" s="115"/>
      <c r="D15" s="115">
        <f>100000000*1.2</f>
        <v>120000000</v>
      </c>
      <c r="E15" s="6"/>
      <c r="F15" s="6">
        <v>60000000</v>
      </c>
      <c r="G15" s="6"/>
      <c r="H15" s="6">
        <v>180000000</v>
      </c>
      <c r="I15" s="6"/>
      <c r="J15" s="6"/>
      <c r="K15" s="6"/>
      <c r="L15" s="6">
        <f>H15</f>
        <v>180000000</v>
      </c>
    </row>
    <row r="16" spans="2:12" ht="15">
      <c r="B16" s="116" t="s">
        <v>58</v>
      </c>
      <c r="C16" s="115">
        <f>1000000000*1.2</f>
        <v>1200000000</v>
      </c>
      <c r="D16" s="115"/>
      <c r="E16" s="6"/>
      <c r="F16" s="6"/>
      <c r="G16" s="6">
        <f>(C16+E16)</f>
        <v>1200000000</v>
      </c>
      <c r="H16" s="6"/>
      <c r="I16" s="6"/>
      <c r="J16" s="6"/>
      <c r="K16" s="6">
        <f>+G16</f>
        <v>1200000000</v>
      </c>
      <c r="L16" s="6"/>
    </row>
    <row r="17" spans="2:12" ht="15">
      <c r="B17" s="116" t="s">
        <v>59</v>
      </c>
      <c r="C17" s="115"/>
      <c r="D17" s="115">
        <f>50000000*1.2</f>
        <v>60000000</v>
      </c>
      <c r="E17" s="6"/>
      <c r="F17" s="6">
        <v>40000000</v>
      </c>
      <c r="G17" s="6"/>
      <c r="H17" s="6">
        <v>100000000</v>
      </c>
      <c r="I17" s="6"/>
      <c r="J17" s="6"/>
      <c r="K17" s="6"/>
      <c r="L17" s="6">
        <f>H17</f>
        <v>100000000</v>
      </c>
    </row>
    <row r="18" spans="2:12" ht="15">
      <c r="B18" s="116" t="s">
        <v>50</v>
      </c>
      <c r="C18" s="115">
        <f>154200000*1.2</f>
        <v>185040000</v>
      </c>
      <c r="D18" s="115">
        <f>0</f>
        <v>0</v>
      </c>
      <c r="E18" s="6"/>
      <c r="F18" s="6"/>
      <c r="G18" s="6">
        <f t="shared" si="0"/>
        <v>185040000</v>
      </c>
      <c r="H18" s="6">
        <f>0</f>
        <v>0</v>
      </c>
      <c r="I18" s="6">
        <f>0</f>
        <v>0</v>
      </c>
      <c r="J18" s="6">
        <f>0</f>
        <v>0</v>
      </c>
      <c r="K18" s="6">
        <f>G18</f>
        <v>185040000</v>
      </c>
      <c r="L18" s="6">
        <f t="shared" si="1"/>
        <v>0</v>
      </c>
    </row>
    <row r="19" spans="2:12" ht="15">
      <c r="B19" s="116" t="s">
        <v>11</v>
      </c>
      <c r="C19" s="115">
        <f>0</f>
        <v>0</v>
      </c>
      <c r="D19" s="117">
        <f>12850000*1.2</f>
        <v>15420000</v>
      </c>
      <c r="E19" s="6"/>
      <c r="F19" s="6">
        <v>17500000</v>
      </c>
      <c r="G19" s="6" t="s">
        <v>12</v>
      </c>
      <c r="H19" s="6">
        <f>D19+F19</f>
        <v>32920000</v>
      </c>
      <c r="I19" s="6">
        <f>0</f>
        <v>0</v>
      </c>
      <c r="J19" s="6">
        <f>0</f>
        <v>0</v>
      </c>
      <c r="K19" s="6" t="str">
        <f>G19</f>
        <v>-</v>
      </c>
      <c r="L19" s="6">
        <f t="shared" si="1"/>
        <v>32920000</v>
      </c>
    </row>
    <row r="20" spans="2:12" ht="15">
      <c r="B20" s="116" t="s">
        <v>60</v>
      </c>
      <c r="C20" s="115"/>
      <c r="D20" s="117">
        <f>50000000*1.2</f>
        <v>60000000</v>
      </c>
      <c r="E20" s="6"/>
      <c r="F20" s="6"/>
      <c r="G20" s="6"/>
      <c r="H20" s="6">
        <f>D20+F20</f>
        <v>60000000</v>
      </c>
      <c r="I20" s="6"/>
      <c r="J20" s="6"/>
      <c r="K20" s="6"/>
      <c r="L20" s="6">
        <f>H20</f>
        <v>60000000</v>
      </c>
    </row>
    <row r="21" spans="2:12" ht="15">
      <c r="B21" s="116" t="s">
        <v>61</v>
      </c>
      <c r="C21" s="115"/>
      <c r="D21" s="117">
        <f>100000000*1.2</f>
        <v>120000000</v>
      </c>
      <c r="E21" s="6"/>
      <c r="F21" s="6"/>
      <c r="G21" s="6"/>
      <c r="H21" s="6">
        <f>D21+F21</f>
        <v>120000000</v>
      </c>
      <c r="I21" s="6"/>
      <c r="J21" s="6"/>
      <c r="K21" s="6"/>
      <c r="L21" s="6">
        <f>H21</f>
        <v>120000000</v>
      </c>
    </row>
    <row r="22" spans="2:12" ht="15">
      <c r="B22" s="116" t="s">
        <v>92</v>
      </c>
      <c r="C22" s="115">
        <f>0</f>
        <v>0</v>
      </c>
      <c r="D22" s="115">
        <f>40800000*1.2</f>
        <v>48960000</v>
      </c>
      <c r="E22" s="6">
        <v>20000000</v>
      </c>
      <c r="F22" s="6"/>
      <c r="G22" s="6">
        <f>0</f>
        <v>0</v>
      </c>
      <c r="H22" s="6">
        <f>(D22+F22)-(E22+G22)</f>
        <v>28960000</v>
      </c>
      <c r="I22" s="6">
        <f>0</f>
        <v>0</v>
      </c>
      <c r="J22" s="6">
        <f>0</f>
        <v>0</v>
      </c>
      <c r="K22" s="6">
        <f aca="true" t="shared" si="2" ref="K22:L27">G22</f>
        <v>0</v>
      </c>
      <c r="L22" s="6">
        <f t="shared" si="2"/>
        <v>28960000</v>
      </c>
    </row>
    <row r="23" spans="2:12" ht="15">
      <c r="B23" s="116" t="s">
        <v>89</v>
      </c>
      <c r="C23" s="115"/>
      <c r="D23" s="115"/>
      <c r="E23" s="6"/>
      <c r="F23" s="6">
        <v>15000000</v>
      </c>
      <c r="G23" s="6"/>
      <c r="H23" s="6">
        <f>D23+F23</f>
        <v>15000000</v>
      </c>
      <c r="I23" s="6"/>
      <c r="J23" s="6"/>
      <c r="K23" s="6"/>
      <c r="L23" s="6">
        <f>H23</f>
        <v>15000000</v>
      </c>
    </row>
    <row r="24" spans="2:12" ht="15">
      <c r="B24" s="116" t="s">
        <v>62</v>
      </c>
      <c r="C24" s="115"/>
      <c r="D24" s="115">
        <f>1200000000*1.2</f>
        <v>1440000000</v>
      </c>
      <c r="E24" s="6"/>
      <c r="F24" s="6"/>
      <c r="G24" s="6">
        <f>0</f>
        <v>0</v>
      </c>
      <c r="H24" s="6">
        <f>F24+D24</f>
        <v>1440000000</v>
      </c>
      <c r="I24" s="6">
        <f>0</f>
        <v>0</v>
      </c>
      <c r="J24" s="6">
        <f>0</f>
        <v>0</v>
      </c>
      <c r="K24" s="6">
        <f t="shared" si="2"/>
        <v>0</v>
      </c>
      <c r="L24" s="6">
        <f t="shared" si="2"/>
        <v>1440000000</v>
      </c>
    </row>
    <row r="25" spans="2:12" ht="15">
      <c r="B25" s="116" t="s">
        <v>63</v>
      </c>
      <c r="C25" s="115">
        <f>0</f>
        <v>0</v>
      </c>
      <c r="D25" s="115">
        <f>1345000000*1.2</f>
        <v>1614000000</v>
      </c>
      <c r="E25" s="6"/>
      <c r="F25" s="6"/>
      <c r="G25" s="6">
        <f>0</f>
        <v>0</v>
      </c>
      <c r="H25" s="6">
        <f>(D25+F25)-(E25+G25)</f>
        <v>1614000000</v>
      </c>
      <c r="I25" s="6">
        <f>0</f>
        <v>0</v>
      </c>
      <c r="J25" s="6">
        <f>0</f>
        <v>0</v>
      </c>
      <c r="K25" s="6">
        <f t="shared" si="2"/>
        <v>0</v>
      </c>
      <c r="L25" s="6">
        <f t="shared" si="2"/>
        <v>1614000000</v>
      </c>
    </row>
    <row r="26" spans="2:12" ht="15">
      <c r="B26" s="116" t="s">
        <v>64</v>
      </c>
      <c r="C26" s="115">
        <f>0</f>
        <v>0</v>
      </c>
      <c r="D26" s="115">
        <f>500000000*1.2</f>
        <v>600000000</v>
      </c>
      <c r="E26" s="6"/>
      <c r="F26" s="6"/>
      <c r="G26" s="6"/>
      <c r="H26" s="6">
        <f>D26+F26</f>
        <v>600000000</v>
      </c>
      <c r="I26" s="6"/>
      <c r="J26" s="6"/>
      <c r="K26" s="6"/>
      <c r="L26" s="6">
        <f t="shared" si="2"/>
        <v>600000000</v>
      </c>
    </row>
    <row r="27" spans="2:12" ht="15">
      <c r="B27" s="116" t="s">
        <v>65</v>
      </c>
      <c r="C27" s="115">
        <f>156000000*1.2</f>
        <v>187200000</v>
      </c>
      <c r="D27" s="115">
        <f>0</f>
        <v>0</v>
      </c>
      <c r="E27" s="6"/>
      <c r="F27" s="6"/>
      <c r="G27" s="6">
        <f>(C27+E27)-(D27+F27)</f>
        <v>187200000</v>
      </c>
      <c r="H27" s="6">
        <f>0</f>
        <v>0</v>
      </c>
      <c r="I27" s="6">
        <f>0</f>
        <v>0</v>
      </c>
      <c r="J27" s="6">
        <f>0</f>
        <v>0</v>
      </c>
      <c r="K27" s="6">
        <f t="shared" si="2"/>
        <v>187200000</v>
      </c>
      <c r="L27" s="6">
        <f t="shared" si="2"/>
        <v>0</v>
      </c>
    </row>
    <row r="28" spans="2:12" ht="15">
      <c r="B28" s="116" t="s">
        <v>94</v>
      </c>
      <c r="C28" s="115"/>
      <c r="D28" s="115">
        <f>825000000*1.9</f>
        <v>1567500000</v>
      </c>
      <c r="E28" s="6"/>
      <c r="F28" s="6">
        <v>20000000</v>
      </c>
      <c r="G28" s="6">
        <f>0</f>
        <v>0</v>
      </c>
      <c r="H28" s="6">
        <f>(D28+F28)-(E28+G28)</f>
        <v>1587500000</v>
      </c>
      <c r="I28" s="6">
        <f aca="true" t="shared" si="3" ref="I28:I39">G28</f>
        <v>0</v>
      </c>
      <c r="J28" s="6">
        <f aca="true" t="shared" si="4" ref="J28:J39">H28</f>
        <v>1587500000</v>
      </c>
      <c r="K28" s="6">
        <f>0</f>
        <v>0</v>
      </c>
      <c r="L28" s="6">
        <f>0</f>
        <v>0</v>
      </c>
    </row>
    <row r="29" spans="2:12" ht="15">
      <c r="B29" s="116" t="s">
        <v>95</v>
      </c>
      <c r="C29" s="115">
        <f>0</f>
        <v>0</v>
      </c>
      <c r="D29" s="115">
        <f>825000000*1.2</f>
        <v>990000000</v>
      </c>
      <c r="E29" s="6"/>
      <c r="F29" s="6"/>
      <c r="G29" s="6"/>
      <c r="H29" s="6">
        <f>(D29+F29)-(E29+G29)</f>
        <v>990000000</v>
      </c>
      <c r="I29" s="6">
        <f t="shared" si="3"/>
        <v>0</v>
      </c>
      <c r="J29" s="6">
        <f t="shared" si="4"/>
        <v>990000000</v>
      </c>
      <c r="K29" s="6">
        <f>0</f>
        <v>0</v>
      </c>
      <c r="L29" s="6">
        <f>0</f>
        <v>0</v>
      </c>
    </row>
    <row r="30" spans="2:12" ht="15">
      <c r="B30" s="116" t="s">
        <v>13</v>
      </c>
      <c r="C30" s="115">
        <f>12000000*1.2</f>
        <v>14400000</v>
      </c>
      <c r="D30" s="115">
        <f>0</f>
        <v>0</v>
      </c>
      <c r="E30" s="6"/>
      <c r="F30" s="6"/>
      <c r="G30" s="6">
        <f>(C30+E30)-(D30+F30)</f>
        <v>14400000</v>
      </c>
      <c r="H30" s="6">
        <f>0</f>
        <v>0</v>
      </c>
      <c r="I30" s="6">
        <f t="shared" si="3"/>
        <v>14400000</v>
      </c>
      <c r="J30" s="6">
        <f t="shared" si="4"/>
        <v>0</v>
      </c>
      <c r="K30" s="6">
        <f>0</f>
        <v>0</v>
      </c>
      <c r="L30" s="6">
        <f>0</f>
        <v>0</v>
      </c>
    </row>
    <row r="31" spans="2:12" ht="15">
      <c r="B31" s="116" t="s">
        <v>14</v>
      </c>
      <c r="C31" s="115">
        <f>8250000*1.2</f>
        <v>9900000</v>
      </c>
      <c r="D31" s="115">
        <f>0</f>
        <v>0</v>
      </c>
      <c r="E31" s="6"/>
      <c r="F31" s="6"/>
      <c r="G31" s="6">
        <f>C31</f>
        <v>9900000</v>
      </c>
      <c r="H31" s="6">
        <f>0</f>
        <v>0</v>
      </c>
      <c r="I31" s="6">
        <f t="shared" si="3"/>
        <v>9900000</v>
      </c>
      <c r="J31" s="6">
        <f t="shared" si="4"/>
        <v>0</v>
      </c>
      <c r="K31" s="6">
        <f>0</f>
        <v>0</v>
      </c>
      <c r="L31" s="6">
        <f>0</f>
        <v>0</v>
      </c>
    </row>
    <row r="32" spans="2:12" ht="15">
      <c r="B32" s="116" t="s">
        <v>15</v>
      </c>
      <c r="C32" s="115">
        <f>500000000*1.2</f>
        <v>600000000</v>
      </c>
      <c r="D32" s="115">
        <f>0</f>
        <v>0</v>
      </c>
      <c r="E32" s="6"/>
      <c r="F32" s="6"/>
      <c r="G32" s="6">
        <f>C32</f>
        <v>600000000</v>
      </c>
      <c r="H32" s="6">
        <f>D32</f>
        <v>0</v>
      </c>
      <c r="I32" s="6">
        <f t="shared" si="3"/>
        <v>600000000</v>
      </c>
      <c r="J32" s="6">
        <f t="shared" si="4"/>
        <v>0</v>
      </c>
      <c r="K32" s="6">
        <f>0</f>
        <v>0</v>
      </c>
      <c r="L32" s="6">
        <f>0</f>
        <v>0</v>
      </c>
    </row>
    <row r="33" spans="2:12" ht="15">
      <c r="B33" s="116" t="s">
        <v>35</v>
      </c>
      <c r="C33" s="115">
        <f>0</f>
        <v>0</v>
      </c>
      <c r="D33" s="115">
        <f>13400000*1.2</f>
        <v>16080000</v>
      </c>
      <c r="E33" s="6"/>
      <c r="F33" s="6"/>
      <c r="G33" s="6">
        <f>C33</f>
        <v>0</v>
      </c>
      <c r="H33" s="6">
        <f>D33</f>
        <v>16080000</v>
      </c>
      <c r="I33" s="6">
        <f t="shared" si="3"/>
        <v>0</v>
      </c>
      <c r="J33" s="6">
        <f t="shared" si="4"/>
        <v>16080000</v>
      </c>
      <c r="K33" s="6">
        <f>0</f>
        <v>0</v>
      </c>
      <c r="L33" s="6">
        <f>0</f>
        <v>0</v>
      </c>
    </row>
    <row r="34" spans="2:12" ht="15">
      <c r="B34" s="116" t="s">
        <v>49</v>
      </c>
      <c r="C34" s="115">
        <f>5000000*1.2</f>
        <v>6000000</v>
      </c>
      <c r="D34" s="115">
        <f>0</f>
        <v>0</v>
      </c>
      <c r="E34" s="6"/>
      <c r="F34" s="6"/>
      <c r="G34" s="6">
        <f>C34</f>
        <v>6000000</v>
      </c>
      <c r="H34" s="6">
        <f>D34</f>
        <v>0</v>
      </c>
      <c r="I34" s="6">
        <f t="shared" si="3"/>
        <v>6000000</v>
      </c>
      <c r="J34" s="6">
        <f t="shared" si="4"/>
        <v>0</v>
      </c>
      <c r="K34" s="6">
        <f>0</f>
        <v>0</v>
      </c>
      <c r="L34" s="6">
        <f>0</f>
        <v>0</v>
      </c>
    </row>
    <row r="35" spans="2:12" ht="15">
      <c r="B35" s="116" t="s">
        <v>16</v>
      </c>
      <c r="C35" s="115">
        <f>0</f>
        <v>0</v>
      </c>
      <c r="D35" s="115">
        <f>5000000*1.2</f>
        <v>6000000</v>
      </c>
      <c r="E35" s="6"/>
      <c r="F35" s="6"/>
      <c r="G35" s="6"/>
      <c r="H35" s="6">
        <f>D35</f>
        <v>6000000</v>
      </c>
      <c r="I35" s="6">
        <f t="shared" si="3"/>
        <v>0</v>
      </c>
      <c r="J35" s="6">
        <f t="shared" si="4"/>
        <v>6000000</v>
      </c>
      <c r="K35" s="6">
        <f>0</f>
        <v>0</v>
      </c>
      <c r="L35" s="6">
        <f>0</f>
        <v>0</v>
      </c>
    </row>
    <row r="36" spans="2:12" ht="15">
      <c r="B36" s="118" t="s">
        <v>17</v>
      </c>
      <c r="C36" s="119">
        <f>81925000*1.2</f>
        <v>98310000</v>
      </c>
      <c r="D36" s="119"/>
      <c r="E36" s="6">
        <v>15000000</v>
      </c>
      <c r="F36" s="6"/>
      <c r="G36" s="6">
        <f>C36+E36</f>
        <v>113310000</v>
      </c>
      <c r="H36" s="6">
        <f>0</f>
        <v>0</v>
      </c>
      <c r="I36" s="6">
        <f t="shared" si="3"/>
        <v>113310000</v>
      </c>
      <c r="J36" s="6">
        <f t="shared" si="4"/>
        <v>0</v>
      </c>
      <c r="K36" s="6">
        <f>0</f>
        <v>0</v>
      </c>
      <c r="L36" s="6">
        <f>0</f>
        <v>0</v>
      </c>
    </row>
    <row r="37" spans="2:12" ht="15">
      <c r="B37" s="118" t="s">
        <v>96</v>
      </c>
      <c r="C37" s="119">
        <f>0.5*D28</f>
        <v>783750000</v>
      </c>
      <c r="D37" s="119"/>
      <c r="E37" s="6"/>
      <c r="F37" s="6"/>
      <c r="G37" s="6">
        <f>C37+E37</f>
        <v>783750000</v>
      </c>
      <c r="H37" s="6">
        <f>0</f>
        <v>0</v>
      </c>
      <c r="I37" s="6">
        <f t="shared" si="3"/>
        <v>783750000</v>
      </c>
      <c r="J37" s="6">
        <f t="shared" si="4"/>
        <v>0</v>
      </c>
      <c r="K37" s="6">
        <f>0</f>
        <v>0</v>
      </c>
      <c r="L37" s="6">
        <f>0</f>
        <v>0</v>
      </c>
    </row>
    <row r="38" spans="2:12" ht="15">
      <c r="B38" s="120" t="s">
        <v>97</v>
      </c>
      <c r="C38" s="119">
        <f>0.3*D28</f>
        <v>470250000</v>
      </c>
      <c r="D38" s="119"/>
      <c r="E38" s="6"/>
      <c r="F38" s="6"/>
      <c r="G38" s="6">
        <f>C38+E38</f>
        <v>470250000</v>
      </c>
      <c r="H38" s="6">
        <f>0</f>
        <v>0</v>
      </c>
      <c r="I38" s="6">
        <f t="shared" si="3"/>
        <v>470250000</v>
      </c>
      <c r="J38" s="6">
        <f t="shared" si="4"/>
        <v>0</v>
      </c>
      <c r="K38" s="6">
        <f>0</f>
        <v>0</v>
      </c>
      <c r="L38" s="6">
        <f>0</f>
        <v>0</v>
      </c>
    </row>
    <row r="39" spans="2:12" ht="15">
      <c r="B39" s="118" t="s">
        <v>98</v>
      </c>
      <c r="C39" s="119">
        <f>0.15*D28</f>
        <v>235125000</v>
      </c>
      <c r="D39" s="119"/>
      <c r="E39" s="6"/>
      <c r="F39" s="6"/>
      <c r="G39" s="6">
        <f>C39+E39</f>
        <v>235125000</v>
      </c>
      <c r="H39" s="6"/>
      <c r="I39" s="6">
        <f t="shared" si="3"/>
        <v>235125000</v>
      </c>
      <c r="J39" s="6">
        <f t="shared" si="4"/>
        <v>0</v>
      </c>
      <c r="K39" s="6">
        <f>0</f>
        <v>0</v>
      </c>
      <c r="L39" s="6">
        <f>0</f>
        <v>0</v>
      </c>
    </row>
    <row r="40" spans="2:12" ht="15">
      <c r="B40" s="118" t="s">
        <v>99</v>
      </c>
      <c r="C40" s="119">
        <f>0.05*D28</f>
        <v>78375000</v>
      </c>
      <c r="D40" s="119"/>
      <c r="E40" s="6">
        <v>72000000</v>
      </c>
      <c r="F40" s="6"/>
      <c r="G40" s="6">
        <f>C40+E40</f>
        <v>150375000</v>
      </c>
      <c r="H40" s="6"/>
      <c r="I40" s="6">
        <f aca="true" t="shared" si="5" ref="I40:I51">G40</f>
        <v>150375000</v>
      </c>
      <c r="J40" s="6"/>
      <c r="K40" s="6"/>
      <c r="L40" s="6"/>
    </row>
    <row r="41" spans="2:12" ht="15">
      <c r="B41" s="118" t="s">
        <v>71</v>
      </c>
      <c r="C41" s="119"/>
      <c r="D41" s="119"/>
      <c r="E41" s="6">
        <v>158640000</v>
      </c>
      <c r="F41" s="6">
        <v>165000000</v>
      </c>
      <c r="G41" s="6"/>
      <c r="H41" s="6">
        <f>+F41-E41</f>
        <v>6360000</v>
      </c>
      <c r="I41" s="6">
        <f t="shared" si="5"/>
        <v>0</v>
      </c>
      <c r="J41" s="6">
        <f>H41</f>
        <v>6360000</v>
      </c>
      <c r="K41" s="6"/>
      <c r="L41" s="6"/>
    </row>
    <row r="42" spans="2:12" ht="15">
      <c r="B42" s="124" t="s">
        <v>110</v>
      </c>
      <c r="C42" s="6"/>
      <c r="D42" s="6"/>
      <c r="E42" s="6">
        <v>6000000</v>
      </c>
      <c r="F42" s="6"/>
      <c r="G42" s="6">
        <f aca="true" t="shared" si="6" ref="G42:G48">C42+E42</f>
        <v>6000000</v>
      </c>
      <c r="H42" s="6"/>
      <c r="I42" s="6">
        <f t="shared" si="5"/>
        <v>6000000</v>
      </c>
      <c r="J42" s="6">
        <f>H42</f>
        <v>0</v>
      </c>
      <c r="K42" s="6"/>
      <c r="L42" s="6"/>
    </row>
    <row r="43" spans="2:12" ht="15">
      <c r="B43" s="124" t="s">
        <v>111</v>
      </c>
      <c r="C43" s="6"/>
      <c r="D43" s="6"/>
      <c r="E43" s="6"/>
      <c r="F43" s="6">
        <v>6000000</v>
      </c>
      <c r="G43" s="6">
        <f t="shared" si="6"/>
        <v>0</v>
      </c>
      <c r="H43" s="6">
        <f>D43+F43</f>
        <v>6000000</v>
      </c>
      <c r="I43" s="6">
        <f t="shared" si="5"/>
        <v>0</v>
      </c>
      <c r="J43" s="6"/>
      <c r="K43" s="6"/>
      <c r="L43" s="6">
        <f>H43+J43</f>
        <v>6000000</v>
      </c>
    </row>
    <row r="44" spans="2:12" ht="15">
      <c r="B44" s="124" t="s">
        <v>112</v>
      </c>
      <c r="C44" s="6"/>
      <c r="D44" s="6"/>
      <c r="E44" s="6">
        <v>7050000</v>
      </c>
      <c r="F44" s="6"/>
      <c r="G44" s="6">
        <f t="shared" si="6"/>
        <v>7050000</v>
      </c>
      <c r="H44" s="6"/>
      <c r="I44" s="6">
        <f t="shared" si="5"/>
        <v>7050000</v>
      </c>
      <c r="J44" s="6">
        <f>H44</f>
        <v>0</v>
      </c>
      <c r="K44" s="6"/>
      <c r="L44" s="6"/>
    </row>
    <row r="45" spans="2:12" ht="15">
      <c r="B45" s="124" t="s">
        <v>21</v>
      </c>
      <c r="C45" s="6"/>
      <c r="D45" s="6"/>
      <c r="E45" s="6">
        <v>5000000</v>
      </c>
      <c r="F45" s="6"/>
      <c r="G45" s="6">
        <f t="shared" si="6"/>
        <v>5000000</v>
      </c>
      <c r="H45" s="6"/>
      <c r="I45" s="6">
        <f t="shared" si="5"/>
        <v>5000000</v>
      </c>
      <c r="J45" s="6"/>
      <c r="K45" s="6"/>
      <c r="L45" s="6"/>
    </row>
    <row r="46" spans="2:12" ht="15">
      <c r="B46" s="124" t="s">
        <v>114</v>
      </c>
      <c r="C46" s="6"/>
      <c r="D46" s="6"/>
      <c r="E46" s="6">
        <v>60000000</v>
      </c>
      <c r="F46" s="6"/>
      <c r="G46" s="6">
        <f t="shared" si="6"/>
        <v>60000000</v>
      </c>
      <c r="H46" s="6"/>
      <c r="I46" s="6">
        <f t="shared" si="5"/>
        <v>60000000</v>
      </c>
      <c r="J46" s="6"/>
      <c r="K46" s="6"/>
      <c r="L46" s="6"/>
    </row>
    <row r="47" spans="2:12" ht="15">
      <c r="B47" s="124" t="s">
        <v>115</v>
      </c>
      <c r="C47" s="6"/>
      <c r="D47" s="6"/>
      <c r="E47" s="6">
        <v>40000000</v>
      </c>
      <c r="F47" s="6"/>
      <c r="G47" s="6">
        <f t="shared" si="6"/>
        <v>40000000</v>
      </c>
      <c r="H47" s="6"/>
      <c r="I47" s="6">
        <f t="shared" si="5"/>
        <v>40000000</v>
      </c>
      <c r="J47" s="6"/>
      <c r="K47" s="6"/>
      <c r="L47" s="6"/>
    </row>
    <row r="48" spans="2:12" ht="15">
      <c r="B48" s="124" t="s">
        <v>20</v>
      </c>
      <c r="C48" s="6"/>
      <c r="D48" s="6"/>
      <c r="E48" s="6">
        <v>17500000</v>
      </c>
      <c r="F48" s="6"/>
      <c r="G48" s="6">
        <f t="shared" si="6"/>
        <v>17500000</v>
      </c>
      <c r="H48" s="6"/>
      <c r="I48" s="6">
        <f t="shared" si="5"/>
        <v>17500000</v>
      </c>
      <c r="J48" s="6"/>
      <c r="K48" s="6"/>
      <c r="L48" s="6"/>
    </row>
    <row r="49" spans="2:12" ht="15">
      <c r="B49" s="124" t="s">
        <v>119</v>
      </c>
      <c r="C49" s="6">
        <f>0</f>
        <v>0</v>
      </c>
      <c r="D49" s="6">
        <f>0</f>
        <v>0</v>
      </c>
      <c r="E49" s="6">
        <f>0</f>
        <v>0</v>
      </c>
      <c r="F49" s="6">
        <v>72000000</v>
      </c>
      <c r="G49" s="6">
        <f>0</f>
        <v>0</v>
      </c>
      <c r="H49" s="6">
        <f>D49+F49</f>
        <v>72000000</v>
      </c>
      <c r="I49" s="6">
        <f t="shared" si="5"/>
        <v>0</v>
      </c>
      <c r="J49" s="6"/>
      <c r="K49" s="6">
        <f>0</f>
        <v>0</v>
      </c>
      <c r="L49" s="6">
        <f>H49+J49</f>
        <v>72000000</v>
      </c>
    </row>
    <row r="50" spans="2:12" ht="15">
      <c r="B50" s="64"/>
      <c r="C50" s="6">
        <f>0</f>
        <v>0</v>
      </c>
      <c r="D50" s="6">
        <f>0</f>
        <v>0</v>
      </c>
      <c r="E50" s="6">
        <f>0</f>
        <v>0</v>
      </c>
      <c r="F50" s="6">
        <f>0</f>
        <v>0</v>
      </c>
      <c r="G50" s="6">
        <f>0</f>
        <v>0</v>
      </c>
      <c r="H50" s="6">
        <f>0</f>
        <v>0</v>
      </c>
      <c r="I50" s="6">
        <f t="shared" si="5"/>
        <v>0</v>
      </c>
      <c r="J50" s="6">
        <f>H50</f>
        <v>0</v>
      </c>
      <c r="K50" s="6">
        <f>0</f>
        <v>0</v>
      </c>
      <c r="L50" s="6">
        <f>0</f>
        <v>0</v>
      </c>
    </row>
    <row r="51" spans="2:12" ht="15">
      <c r="B51" s="63"/>
      <c r="C51" s="6">
        <f>0</f>
        <v>0</v>
      </c>
      <c r="D51" s="6">
        <f>0</f>
        <v>0</v>
      </c>
      <c r="E51" s="6">
        <f>0</f>
        <v>0</v>
      </c>
      <c r="F51" s="6">
        <f>0</f>
        <v>0</v>
      </c>
      <c r="G51" s="6">
        <f>0</f>
        <v>0</v>
      </c>
      <c r="H51" s="6">
        <f>0</f>
        <v>0</v>
      </c>
      <c r="I51" s="6">
        <f t="shared" si="5"/>
        <v>0</v>
      </c>
      <c r="J51" s="6">
        <f>H51</f>
        <v>0</v>
      </c>
      <c r="K51" s="6">
        <f>0</f>
        <v>0</v>
      </c>
      <c r="L51" s="6">
        <f>0</f>
        <v>0</v>
      </c>
    </row>
    <row r="52" spans="2:12" ht="15">
      <c r="B52" s="63"/>
      <c r="C52" s="7"/>
      <c r="D52" s="7"/>
      <c r="E52" s="7"/>
      <c r="F52" s="7"/>
      <c r="G52" s="7"/>
      <c r="H52" s="7"/>
      <c r="I52" s="9"/>
      <c r="J52" s="9"/>
      <c r="K52" s="9"/>
      <c r="L52" s="62"/>
    </row>
    <row r="53" spans="2:12" ht="15">
      <c r="B53" s="9"/>
      <c r="C53" s="8">
        <f aca="true" t="shared" si="7" ref="C53:H53">SUM(C9:C52)</f>
        <v>6657960000</v>
      </c>
      <c r="D53" s="8">
        <f t="shared" si="7"/>
        <v>6657960000</v>
      </c>
      <c r="E53" s="8">
        <f t="shared" si="7"/>
        <v>566190000</v>
      </c>
      <c r="F53" s="8">
        <f t="shared" si="7"/>
        <v>566190000</v>
      </c>
      <c r="G53" s="8">
        <f t="shared" si="7"/>
        <v>6874820000</v>
      </c>
      <c r="H53" s="8">
        <f t="shared" si="7"/>
        <v>6874820000</v>
      </c>
      <c r="I53" s="8">
        <f>SUM(I9:I52)</f>
        <v>2518660000</v>
      </c>
      <c r="J53" s="8">
        <f>SUM(J9:J52)</f>
        <v>2605940000</v>
      </c>
      <c r="K53" s="8">
        <f>SUM(K9:K52)</f>
        <v>4356160000</v>
      </c>
      <c r="L53" s="33">
        <f>SUM(L9:L52)</f>
        <v>4268880000</v>
      </c>
    </row>
    <row r="54" spans="2:12" ht="15.75" thickBot="1">
      <c r="B54" s="9"/>
      <c r="C54" s="8"/>
      <c r="D54" s="8"/>
      <c r="E54" s="8"/>
      <c r="F54" s="8"/>
      <c r="G54" s="8"/>
      <c r="H54" s="8"/>
      <c r="I54" s="48">
        <f>J53-I53</f>
        <v>87280000</v>
      </c>
      <c r="J54" s="47"/>
      <c r="K54" s="8"/>
      <c r="L54" s="49">
        <f>K53-L53</f>
        <v>87280000</v>
      </c>
    </row>
    <row r="55" spans="2:12" ht="16.5" thickBot="1" thickTop="1">
      <c r="B55" s="65"/>
      <c r="C55" s="11"/>
      <c r="D55" s="11"/>
      <c r="E55" s="11"/>
      <c r="F55" s="11"/>
      <c r="G55" s="11"/>
      <c r="H55" s="11"/>
      <c r="I55" s="31"/>
      <c r="J55" s="31"/>
      <c r="K55" s="31"/>
      <c r="L55" s="32"/>
    </row>
  </sheetData>
  <sheetProtection/>
  <mergeCells count="9">
    <mergeCell ref="B2:L2"/>
    <mergeCell ref="B3:L3"/>
    <mergeCell ref="B4:L4"/>
    <mergeCell ref="B6:B7"/>
    <mergeCell ref="C6:D6"/>
    <mergeCell ref="E6:F6"/>
    <mergeCell ref="G6:H6"/>
    <mergeCell ref="I6:J6"/>
    <mergeCell ref="K6:L6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D43" sqref="D43"/>
    </sheetView>
  </sheetViews>
  <sheetFormatPr defaultColWidth="9.140625" defaultRowHeight="15"/>
  <cols>
    <col min="1" max="1" width="35.7109375" style="0" bestFit="1" customWidth="1"/>
    <col min="2" max="3" width="12.57421875" style="12" bestFit="1" customWidth="1"/>
    <col min="4" max="4" width="16.421875" style="12" customWidth="1"/>
    <col min="5" max="5" width="16.28125" style="0" customWidth="1"/>
  </cols>
  <sheetData>
    <row r="1" spans="1:4" ht="15">
      <c r="A1" s="169" t="s">
        <v>120</v>
      </c>
      <c r="B1" s="169"/>
      <c r="C1" s="169"/>
      <c r="D1" s="169"/>
    </row>
    <row r="2" spans="1:4" ht="15">
      <c r="A2" s="169" t="s">
        <v>22</v>
      </c>
      <c r="B2" s="169"/>
      <c r="C2" s="169"/>
      <c r="D2" s="169"/>
    </row>
    <row r="3" spans="1:4" ht="15">
      <c r="A3" s="169" t="s">
        <v>72</v>
      </c>
      <c r="B3" s="169"/>
      <c r="C3" s="169"/>
      <c r="D3" s="169"/>
    </row>
    <row r="5" spans="1:4" ht="15">
      <c r="A5" s="18" t="s">
        <v>73</v>
      </c>
      <c r="B5" s="24"/>
      <c r="C5" s="24"/>
      <c r="D5" s="25"/>
    </row>
    <row r="6" spans="1:4" ht="15">
      <c r="A6" s="42" t="s">
        <v>94</v>
      </c>
      <c r="B6" s="13"/>
      <c r="C6" s="13"/>
      <c r="D6" s="26">
        <f>NL!J28</f>
        <v>1587500000</v>
      </c>
    </row>
    <row r="7" spans="1:5" ht="15">
      <c r="A7" s="42" t="s">
        <v>95</v>
      </c>
      <c r="B7" s="13"/>
      <c r="C7" s="13"/>
      <c r="D7" s="26">
        <f>NL!J29</f>
        <v>990000000</v>
      </c>
      <c r="E7" s="112">
        <f>SUM(D6:D7)</f>
        <v>2577500000</v>
      </c>
    </row>
    <row r="8" spans="1:4" ht="15">
      <c r="A8" s="42" t="s">
        <v>13</v>
      </c>
      <c r="B8" s="13"/>
      <c r="C8" s="13">
        <f>-NL!I30</f>
        <v>-14400000</v>
      </c>
      <c r="D8" s="26"/>
    </row>
    <row r="9" spans="1:4" ht="15.75" thickBot="1">
      <c r="A9" s="42" t="s">
        <v>14</v>
      </c>
      <c r="B9" s="13"/>
      <c r="C9" s="13">
        <f>-NL!I31</f>
        <v>-9900000</v>
      </c>
      <c r="D9" s="43">
        <f>SUM(C8:C9)</f>
        <v>-24300000</v>
      </c>
    </row>
    <row r="10" spans="1:4" ht="15">
      <c r="A10" s="42" t="s">
        <v>74</v>
      </c>
      <c r="B10" s="13"/>
      <c r="C10" s="13"/>
      <c r="D10" s="23">
        <f>SUM(D6:D9)</f>
        <v>2553200000</v>
      </c>
    </row>
    <row r="11" spans="1:4" ht="15">
      <c r="A11" s="42"/>
      <c r="B11" s="13"/>
      <c r="C11" s="13"/>
      <c r="D11" s="23"/>
    </row>
    <row r="12" spans="1:4" ht="15">
      <c r="A12" s="46" t="s">
        <v>23</v>
      </c>
      <c r="B12" s="13"/>
      <c r="C12" s="13"/>
      <c r="D12" s="26"/>
    </row>
    <row r="13" spans="1:4" ht="15">
      <c r="A13" s="42" t="s">
        <v>24</v>
      </c>
      <c r="B13" s="13"/>
      <c r="C13" s="13">
        <f>NL!C11</f>
        <v>158640000</v>
      </c>
      <c r="D13" s="26"/>
    </row>
    <row r="14" spans="1:4" ht="15">
      <c r="A14" s="42" t="s">
        <v>15</v>
      </c>
      <c r="B14" s="13">
        <f>NL!I32</f>
        <v>600000000</v>
      </c>
      <c r="C14" s="13"/>
      <c r="D14" s="26"/>
    </row>
    <row r="15" spans="1:4" ht="15">
      <c r="A15" s="42" t="s">
        <v>25</v>
      </c>
      <c r="B15" s="15">
        <f>NL!I34</f>
        <v>6000000</v>
      </c>
      <c r="C15" s="13"/>
      <c r="D15" s="26"/>
    </row>
    <row r="16" spans="1:4" ht="15">
      <c r="A16" s="46" t="s">
        <v>26</v>
      </c>
      <c r="B16" s="13">
        <f>SUM(B14:B15)</f>
        <v>606000000</v>
      </c>
      <c r="C16" s="13"/>
      <c r="D16" s="26"/>
    </row>
    <row r="17" spans="1:4" ht="15">
      <c r="A17" s="42" t="s">
        <v>16</v>
      </c>
      <c r="B17" s="13">
        <f>-NL!J35</f>
        <v>-6000000</v>
      </c>
      <c r="C17" s="13"/>
      <c r="D17" s="26"/>
    </row>
    <row r="18" spans="1:4" ht="15">
      <c r="A18" s="42" t="s">
        <v>35</v>
      </c>
      <c r="B18" s="15">
        <f>-NL!J33</f>
        <v>-16080000</v>
      </c>
      <c r="C18" s="13"/>
      <c r="D18" s="26"/>
    </row>
    <row r="19" spans="1:4" ht="15">
      <c r="A19" s="46" t="s">
        <v>27</v>
      </c>
      <c r="B19" s="13"/>
      <c r="C19" s="15">
        <f>SUM(B16:B18)</f>
        <v>583920000</v>
      </c>
      <c r="D19" s="26"/>
    </row>
    <row r="20" spans="1:4" ht="15">
      <c r="A20" s="44" t="s">
        <v>28</v>
      </c>
      <c r="B20" s="13"/>
      <c r="C20" s="13">
        <f>C19+C13</f>
        <v>742560000</v>
      </c>
      <c r="D20" s="26"/>
    </row>
    <row r="21" spans="1:4" ht="15">
      <c r="A21" s="44" t="s">
        <v>29</v>
      </c>
      <c r="B21" s="13"/>
      <c r="C21" s="15">
        <f>NL!G11</f>
        <v>165000000</v>
      </c>
      <c r="D21" s="26"/>
    </row>
    <row r="22" spans="1:4" ht="15.75" thickBot="1">
      <c r="A22" s="27" t="s">
        <v>30</v>
      </c>
      <c r="B22" s="13"/>
      <c r="C22" s="13"/>
      <c r="D22" s="28">
        <f>C20-C21</f>
        <v>577560000</v>
      </c>
    </row>
    <row r="23" spans="1:5" ht="15">
      <c r="A23" s="19" t="s">
        <v>31</v>
      </c>
      <c r="B23" s="13"/>
      <c r="C23" s="13"/>
      <c r="D23" s="23">
        <f>D10-D22</f>
        <v>1975640000</v>
      </c>
      <c r="E23" s="12"/>
    </row>
    <row r="24" spans="1:5" ht="15">
      <c r="A24" s="19"/>
      <c r="B24" s="13"/>
      <c r="C24" s="13"/>
      <c r="D24" s="26"/>
      <c r="E24" s="12"/>
    </row>
    <row r="25" spans="1:4" ht="15">
      <c r="A25" s="19" t="s">
        <v>32</v>
      </c>
      <c r="B25" s="13"/>
      <c r="C25" s="13"/>
      <c r="D25" s="26"/>
    </row>
    <row r="26" spans="1:4" ht="15">
      <c r="A26" s="141" t="s">
        <v>17</v>
      </c>
      <c r="B26" s="13">
        <f>NL!I36</f>
        <v>113310000</v>
      </c>
      <c r="C26" s="13"/>
      <c r="D26" s="26"/>
    </row>
    <row r="27" spans="1:4" ht="15">
      <c r="A27" s="141" t="s">
        <v>96</v>
      </c>
      <c r="B27" s="13">
        <f>NL!I37</f>
        <v>783750000</v>
      </c>
      <c r="C27" s="13"/>
      <c r="D27" s="26"/>
    </row>
    <row r="28" spans="1:4" ht="15">
      <c r="A28" s="142" t="s">
        <v>97</v>
      </c>
      <c r="B28" s="13">
        <f>NL!I38</f>
        <v>470250000</v>
      </c>
      <c r="C28" s="13"/>
      <c r="D28" s="26"/>
    </row>
    <row r="29" spans="1:4" ht="15">
      <c r="A29" s="141" t="s">
        <v>98</v>
      </c>
      <c r="B29" s="13">
        <f>NL!I39</f>
        <v>235125000</v>
      </c>
      <c r="C29" s="13"/>
      <c r="D29" s="26"/>
    </row>
    <row r="30" spans="1:4" ht="15">
      <c r="A30" s="143" t="s">
        <v>110</v>
      </c>
      <c r="B30" s="13">
        <f>NL!I42</f>
        <v>6000000</v>
      </c>
      <c r="C30" s="13"/>
      <c r="D30" s="26"/>
    </row>
    <row r="31" spans="1:4" ht="15">
      <c r="A31" s="143" t="s">
        <v>112</v>
      </c>
      <c r="B31" s="13">
        <f>NL!I44</f>
        <v>7050000</v>
      </c>
      <c r="C31" s="13"/>
      <c r="D31" s="26"/>
    </row>
    <row r="32" spans="1:4" ht="15">
      <c r="A32" s="143" t="s">
        <v>21</v>
      </c>
      <c r="B32" s="13">
        <f>NL!I45</f>
        <v>5000000</v>
      </c>
      <c r="C32" s="13"/>
      <c r="D32" s="26"/>
    </row>
    <row r="33" spans="1:4" ht="15">
      <c r="A33" s="143" t="s">
        <v>114</v>
      </c>
      <c r="B33" s="13">
        <f>NL!I46</f>
        <v>60000000</v>
      </c>
      <c r="C33" s="13"/>
      <c r="D33" s="26"/>
    </row>
    <row r="34" spans="1:4" ht="15">
      <c r="A34" s="143" t="s">
        <v>115</v>
      </c>
      <c r="B34" s="13">
        <f>NL!I47</f>
        <v>40000000</v>
      </c>
      <c r="C34" s="13"/>
      <c r="D34" s="26"/>
    </row>
    <row r="35" spans="1:4" ht="15">
      <c r="A35" s="143" t="s">
        <v>20</v>
      </c>
      <c r="B35" s="13">
        <f>NL!I48</f>
        <v>17500000</v>
      </c>
      <c r="C35" s="13"/>
      <c r="D35" s="26"/>
    </row>
    <row r="36" spans="1:4" ht="15.75" thickBot="1">
      <c r="A36" s="126" t="s">
        <v>33</v>
      </c>
      <c r="B36" s="13"/>
      <c r="C36" s="13"/>
      <c r="D36" s="28">
        <f>SUM(B26:B35)</f>
        <v>1737985000</v>
      </c>
    </row>
    <row r="37" spans="1:4" ht="15">
      <c r="A37" s="46" t="s">
        <v>121</v>
      </c>
      <c r="B37" s="13"/>
      <c r="C37" s="13"/>
      <c r="D37" s="23">
        <f>+D23-D36</f>
        <v>237655000</v>
      </c>
    </row>
    <row r="38" spans="1:4" ht="15">
      <c r="A38" s="126"/>
      <c r="B38" s="13"/>
      <c r="C38" s="13"/>
      <c r="D38" s="23"/>
    </row>
    <row r="39" spans="1:4" ht="15">
      <c r="A39" s="46" t="s">
        <v>122</v>
      </c>
      <c r="B39" s="13"/>
      <c r="C39" s="13"/>
      <c r="D39" s="23"/>
    </row>
    <row r="40" spans="1:4" ht="15">
      <c r="A40" s="127" t="s">
        <v>99</v>
      </c>
      <c r="B40" s="13">
        <f>NL!I40</f>
        <v>150375000</v>
      </c>
      <c r="C40" s="13"/>
      <c r="D40" s="23"/>
    </row>
    <row r="41" spans="1:4" ht="15.75" thickBot="1">
      <c r="A41" s="126" t="s">
        <v>122</v>
      </c>
      <c r="B41" s="13"/>
      <c r="C41" s="13"/>
      <c r="D41" s="28">
        <f>SUM(B39:B40)</f>
        <v>150375000</v>
      </c>
    </row>
    <row r="42" spans="1:4" ht="15.75" thickBot="1">
      <c r="A42" s="19"/>
      <c r="B42" s="13"/>
      <c r="C42" s="13"/>
      <c r="D42" s="43"/>
    </row>
    <row r="43" spans="1:4" ht="16.5" thickBot="1">
      <c r="A43" s="27" t="s">
        <v>123</v>
      </c>
      <c r="B43" s="13"/>
      <c r="C43" s="13"/>
      <c r="D43" s="144">
        <f>D37-D41</f>
        <v>87280000</v>
      </c>
    </row>
    <row r="44" spans="1:4" ht="15.75" thickTop="1">
      <c r="A44" s="27"/>
      <c r="B44" s="13"/>
      <c r="C44" s="13"/>
      <c r="D44" s="23"/>
    </row>
    <row r="45" spans="1:4" ht="15">
      <c r="A45" s="27" t="s">
        <v>124</v>
      </c>
      <c r="B45" s="13"/>
      <c r="C45" s="13"/>
      <c r="D45" s="23">
        <f>+D43*0.1</f>
        <v>8728000</v>
      </c>
    </row>
    <row r="46" spans="1:4" ht="15">
      <c r="A46" s="27"/>
      <c r="B46" s="13"/>
      <c r="C46" s="13"/>
      <c r="D46" s="23"/>
    </row>
    <row r="47" spans="1:4" ht="15">
      <c r="A47" s="27" t="s">
        <v>125</v>
      </c>
      <c r="B47" s="13"/>
      <c r="C47" s="13"/>
      <c r="D47" s="23">
        <f>+D43-D45</f>
        <v>78552000</v>
      </c>
    </row>
    <row r="48" spans="1:4" ht="15">
      <c r="A48" s="27"/>
      <c r="B48" s="13"/>
      <c r="C48" s="13"/>
      <c r="D48" s="23"/>
    </row>
    <row r="49" spans="1:4" ht="15">
      <c r="A49" s="20"/>
      <c r="B49" s="15"/>
      <c r="C49" s="15"/>
      <c r="D49" s="4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8.00390625" style="0" customWidth="1"/>
    <col min="2" max="3" width="19.00390625" style="0" customWidth="1"/>
  </cols>
  <sheetData>
    <row r="1" spans="1:7" ht="15">
      <c r="A1" s="169" t="s">
        <v>188</v>
      </c>
      <c r="B1" s="169"/>
      <c r="C1" s="169"/>
      <c r="D1" s="30"/>
      <c r="E1" s="30"/>
      <c r="F1" s="30"/>
      <c r="G1" s="30"/>
    </row>
    <row r="2" spans="1:7" ht="15">
      <c r="A2" s="169" t="s">
        <v>75</v>
      </c>
      <c r="B2" s="169"/>
      <c r="C2" s="169"/>
      <c r="D2" s="30"/>
      <c r="E2" s="30"/>
      <c r="F2" s="30"/>
      <c r="G2" s="30"/>
    </row>
    <row r="3" spans="1:7" ht="15">
      <c r="A3" s="169" t="s">
        <v>72</v>
      </c>
      <c r="B3" s="169"/>
      <c r="C3" s="169"/>
      <c r="D3" s="30"/>
      <c r="E3" s="30"/>
      <c r="F3" s="30"/>
      <c r="G3" s="30"/>
    </row>
    <row r="6" spans="1:3" ht="15">
      <c r="A6" s="18" t="s">
        <v>76</v>
      </c>
      <c r="B6" s="24"/>
      <c r="C6" s="25">
        <f>NL!L26</f>
        <v>600000000</v>
      </c>
    </row>
    <row r="7" spans="1:3" ht="15">
      <c r="A7" s="10" t="s">
        <v>34</v>
      </c>
      <c r="B7" s="15">
        <f>NL!I54</f>
        <v>87280000</v>
      </c>
      <c r="C7" s="26"/>
    </row>
    <row r="8" spans="1:3" ht="15">
      <c r="A8" s="10" t="s">
        <v>77</v>
      </c>
      <c r="B8" s="15">
        <f>-NL!K27</f>
        <v>-187200000</v>
      </c>
      <c r="C8" s="26"/>
    </row>
    <row r="9" spans="1:3" ht="15">
      <c r="A9" s="27" t="s">
        <v>126</v>
      </c>
      <c r="B9" s="13"/>
      <c r="C9" s="23">
        <f>B7+B8</f>
        <v>-99920000</v>
      </c>
    </row>
    <row r="10" spans="1:3" ht="15">
      <c r="A10" s="10"/>
      <c r="B10" s="13"/>
      <c r="C10" s="26"/>
    </row>
    <row r="11" spans="1:3" ht="15.75" thickBot="1">
      <c r="A11" s="19" t="s">
        <v>78</v>
      </c>
      <c r="B11" s="13"/>
      <c r="C11" s="29">
        <f>SUM(C6:C9)</f>
        <v>500080000</v>
      </c>
    </row>
    <row r="12" spans="1:3" ht="15.75" thickTop="1">
      <c r="A12" s="20"/>
      <c r="B12" s="21"/>
      <c r="C12" s="2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3">
      <selection activeCell="G27" sqref="G27"/>
    </sheetView>
  </sheetViews>
  <sheetFormatPr defaultColWidth="9.140625" defaultRowHeight="15"/>
  <cols>
    <col min="1" max="1" width="33.7109375" style="0" customWidth="1"/>
    <col min="2" max="3" width="18.7109375" style="0" customWidth="1"/>
    <col min="5" max="5" width="29.00390625" style="0" customWidth="1"/>
    <col min="6" max="7" width="18.28125" style="0" customWidth="1"/>
  </cols>
  <sheetData>
    <row r="1" spans="1:7" ht="18.75">
      <c r="A1" s="155" t="s">
        <v>120</v>
      </c>
      <c r="B1" s="155"/>
      <c r="C1" s="155"/>
      <c r="D1" s="155"/>
      <c r="E1" s="155"/>
      <c r="F1" s="155"/>
      <c r="G1" s="155"/>
    </row>
    <row r="2" spans="1:7" ht="18.75">
      <c r="A2" s="155" t="s">
        <v>5</v>
      </c>
      <c r="B2" s="155"/>
      <c r="C2" s="155"/>
      <c r="D2" s="155"/>
      <c r="E2" s="155"/>
      <c r="F2" s="155"/>
      <c r="G2" s="155"/>
    </row>
    <row r="3" spans="1:7" ht="18.75">
      <c r="A3" s="155" t="s">
        <v>55</v>
      </c>
      <c r="B3" s="155"/>
      <c r="C3" s="155"/>
      <c r="D3" s="155"/>
      <c r="E3" s="155"/>
      <c r="F3" s="155"/>
      <c r="G3" s="155"/>
    </row>
    <row r="4" spans="1:7" ht="15">
      <c r="A4" s="17"/>
      <c r="B4" s="17"/>
      <c r="C4" s="17"/>
      <c r="D4" s="17"/>
      <c r="E4" s="17"/>
      <c r="F4" s="17"/>
      <c r="G4" s="17"/>
    </row>
    <row r="6" spans="1:7" ht="18.75">
      <c r="A6" s="132" t="s">
        <v>42</v>
      </c>
      <c r="B6" s="66"/>
      <c r="C6" s="67"/>
      <c r="D6" s="68"/>
      <c r="E6" s="177" t="s">
        <v>41</v>
      </c>
      <c r="F6" s="177"/>
      <c r="G6" s="69"/>
    </row>
    <row r="7" spans="1:7" ht="15.75">
      <c r="A7" s="70"/>
      <c r="B7" s="71"/>
      <c r="C7" s="71"/>
      <c r="D7" s="70"/>
      <c r="E7" s="71"/>
      <c r="F7" s="71"/>
      <c r="G7" s="72"/>
    </row>
    <row r="8" spans="1:7" ht="18.75">
      <c r="A8" s="133" t="s">
        <v>40</v>
      </c>
      <c r="B8" s="71"/>
      <c r="C8" s="71"/>
      <c r="D8" s="70"/>
      <c r="E8" s="134" t="s">
        <v>81</v>
      </c>
      <c r="F8" s="71"/>
      <c r="G8" s="72"/>
    </row>
    <row r="9" spans="1:7" ht="15.75">
      <c r="A9" s="70" t="s">
        <v>8</v>
      </c>
      <c r="B9" s="71"/>
      <c r="C9" s="75">
        <f>NL!K9</f>
        <v>84600000</v>
      </c>
      <c r="D9" s="70"/>
      <c r="E9" s="125" t="s">
        <v>60</v>
      </c>
      <c r="F9" s="75">
        <f>NL!L20</f>
        <v>60000000</v>
      </c>
      <c r="G9" s="72"/>
    </row>
    <row r="10" spans="1:7" ht="15.75">
      <c r="A10" s="71" t="s">
        <v>86</v>
      </c>
      <c r="B10" s="75">
        <f>NL!K10</f>
        <v>126000000</v>
      </c>
      <c r="C10" s="71"/>
      <c r="D10" s="70"/>
      <c r="E10" s="125" t="s">
        <v>61</v>
      </c>
      <c r="F10" s="75">
        <f>NL!L21</f>
        <v>120000000</v>
      </c>
      <c r="G10" s="72"/>
    </row>
    <row r="11" spans="1:7" ht="15.75">
      <c r="A11" s="71" t="s">
        <v>111</v>
      </c>
      <c r="B11" s="80">
        <f>-NL!L43</f>
        <v>-6000000</v>
      </c>
      <c r="C11" s="71"/>
      <c r="D11" s="70"/>
      <c r="E11" s="125" t="s">
        <v>92</v>
      </c>
      <c r="F11" s="75">
        <f>NL!L22</f>
        <v>28960000</v>
      </c>
      <c r="G11" s="72"/>
    </row>
    <row r="12" spans="1:7" ht="15.75">
      <c r="A12" s="128" t="s">
        <v>127</v>
      </c>
      <c r="C12" s="75">
        <f>+B10+B11</f>
        <v>120000000</v>
      </c>
      <c r="D12" s="70"/>
      <c r="E12" s="125" t="s">
        <v>89</v>
      </c>
      <c r="F12" s="75">
        <f>NL!L23</f>
        <v>15000000</v>
      </c>
      <c r="G12" s="72"/>
    </row>
    <row r="13" spans="1:7" ht="15.75">
      <c r="A13" s="71"/>
      <c r="B13" s="75"/>
      <c r="C13" s="75"/>
      <c r="D13" s="70"/>
      <c r="E13" s="71" t="s">
        <v>128</v>
      </c>
      <c r="F13" s="75">
        <f>NL!L49</f>
        <v>72000000</v>
      </c>
      <c r="G13" s="72"/>
    </row>
    <row r="14" spans="1:7" ht="15.75">
      <c r="A14" s="71" t="s">
        <v>56</v>
      </c>
      <c r="B14" s="75"/>
      <c r="C14" s="75">
        <f>NL!K11</f>
        <v>165000000</v>
      </c>
      <c r="D14" s="70"/>
      <c r="E14" s="130" t="s">
        <v>84</v>
      </c>
      <c r="F14" s="75"/>
      <c r="G14" s="77">
        <f>SUM(F9:F13)</f>
        <v>295960000</v>
      </c>
    </row>
    <row r="15" spans="1:7" ht="15.75">
      <c r="A15" s="71" t="s">
        <v>91</v>
      </c>
      <c r="B15" s="75"/>
      <c r="C15" s="75">
        <f>NL!K12</f>
        <v>3000000</v>
      </c>
      <c r="D15" s="70"/>
      <c r="E15" s="71"/>
      <c r="F15" s="75"/>
      <c r="G15" s="72"/>
    </row>
    <row r="16" spans="1:8" ht="15.75">
      <c r="A16" s="71" t="s">
        <v>18</v>
      </c>
      <c r="B16" s="75"/>
      <c r="C16" s="129">
        <f>NL!K13</f>
        <v>5320000</v>
      </c>
      <c r="D16" s="70"/>
      <c r="E16" s="76"/>
      <c r="F16" s="75"/>
      <c r="G16" s="77"/>
      <c r="H16" s="16"/>
    </row>
    <row r="17" spans="1:7" ht="15.75">
      <c r="A17" s="73" t="s">
        <v>53</v>
      </c>
      <c r="B17" s="75"/>
      <c r="C17" s="136">
        <f>SUM(C8:C16)</f>
        <v>377920000</v>
      </c>
      <c r="D17" s="70"/>
      <c r="E17" s="79" t="s">
        <v>82</v>
      </c>
      <c r="F17" s="71"/>
      <c r="G17" s="72"/>
    </row>
    <row r="18" spans="1:7" ht="15.75">
      <c r="A18" s="73"/>
      <c r="B18" s="75"/>
      <c r="C18" s="135"/>
      <c r="D18" s="71"/>
      <c r="E18" s="76" t="s">
        <v>83</v>
      </c>
      <c r="F18" s="75"/>
      <c r="G18" s="78">
        <f>NL!L24</f>
        <v>1440000000</v>
      </c>
    </row>
    <row r="19" spans="1:7" ht="15.75">
      <c r="A19" s="74" t="s">
        <v>38</v>
      </c>
      <c r="B19" s="71"/>
      <c r="C19" s="78"/>
      <c r="D19" s="71"/>
      <c r="E19" s="71"/>
      <c r="F19" s="35"/>
      <c r="G19" s="77"/>
    </row>
    <row r="20" spans="1:7" ht="15.75">
      <c r="A20" s="87" t="s">
        <v>57</v>
      </c>
      <c r="B20" s="75">
        <f>NL!K14</f>
        <v>2400000000</v>
      </c>
      <c r="C20" s="75"/>
      <c r="D20" s="70"/>
      <c r="E20" s="79" t="s">
        <v>159</v>
      </c>
      <c r="F20" s="71"/>
      <c r="G20" s="77">
        <f>SUM(G14:G18)</f>
        <v>1735960000</v>
      </c>
    </row>
    <row r="21" spans="1:7" ht="15.75">
      <c r="A21" s="87" t="s">
        <v>80</v>
      </c>
      <c r="B21" s="80">
        <f>-NL!L15</f>
        <v>-180000000</v>
      </c>
      <c r="C21" s="75"/>
      <c r="D21" s="70"/>
      <c r="E21" s="76"/>
      <c r="F21" s="75"/>
      <c r="G21" s="78"/>
    </row>
    <row r="22" spans="1:7" ht="15.75">
      <c r="A22" s="137" t="s">
        <v>129</v>
      </c>
      <c r="B22" s="75"/>
      <c r="C22" s="75">
        <f>+B20+B21</f>
        <v>2220000000</v>
      </c>
      <c r="D22" s="70"/>
      <c r="E22" s="71"/>
      <c r="F22" s="71"/>
      <c r="G22" s="72"/>
    </row>
    <row r="23" spans="1:7" ht="18" customHeight="1">
      <c r="A23" s="87" t="s">
        <v>58</v>
      </c>
      <c r="B23" s="75">
        <f>NL!K16</f>
        <v>1200000000</v>
      </c>
      <c r="C23" s="75"/>
      <c r="D23" s="70"/>
      <c r="E23" s="74"/>
      <c r="F23" s="75"/>
      <c r="G23" s="72"/>
    </row>
    <row r="24" spans="1:7" ht="15.75">
      <c r="A24" s="87" t="s">
        <v>59</v>
      </c>
      <c r="B24" s="80">
        <f>-NL!L17</f>
        <v>-100000000</v>
      </c>
      <c r="C24" s="75"/>
      <c r="D24" s="70"/>
      <c r="E24" s="74" t="s">
        <v>39</v>
      </c>
      <c r="F24" s="35"/>
      <c r="G24" s="78"/>
    </row>
    <row r="25" spans="1:7" ht="17.25" customHeight="1">
      <c r="A25" s="137" t="s">
        <v>129</v>
      </c>
      <c r="B25" s="75"/>
      <c r="C25" s="75">
        <f>+B23+B24</f>
        <v>1100000000</v>
      </c>
      <c r="D25" s="70"/>
      <c r="E25" s="71" t="s">
        <v>85</v>
      </c>
      <c r="F25" s="71"/>
      <c r="G25" s="139">
        <f>NL!L25</f>
        <v>1614000000</v>
      </c>
    </row>
    <row r="26" spans="1:7" ht="15.75">
      <c r="A26" s="70" t="s">
        <v>10</v>
      </c>
      <c r="B26" s="75">
        <f>NL!K18</f>
        <v>185040000</v>
      </c>
      <c r="C26" s="75"/>
      <c r="D26" s="70"/>
      <c r="E26" s="76" t="s">
        <v>64</v>
      </c>
      <c r="F26" s="71"/>
      <c r="G26" s="140">
        <f>Ekuitas!C11</f>
        <v>500080000</v>
      </c>
    </row>
    <row r="27" spans="1:7" ht="15.75">
      <c r="A27" s="70" t="s">
        <v>11</v>
      </c>
      <c r="B27" s="80">
        <f>-NL!L19</f>
        <v>-32920000</v>
      </c>
      <c r="C27" s="75"/>
      <c r="D27" s="70"/>
      <c r="E27" s="130" t="s">
        <v>130</v>
      </c>
      <c r="F27" s="71"/>
      <c r="G27" s="77">
        <f>SUM(G25:G26)</f>
        <v>2114080000</v>
      </c>
    </row>
    <row r="28" spans="1:7" ht="15.75">
      <c r="A28" s="138" t="s">
        <v>129</v>
      </c>
      <c r="B28" s="75"/>
      <c r="C28" s="75">
        <f>+B26+B27</f>
        <v>152120000</v>
      </c>
      <c r="D28" s="70"/>
      <c r="E28" s="71"/>
      <c r="F28" s="71"/>
      <c r="G28" s="72"/>
    </row>
    <row r="29" spans="1:7" ht="15.75">
      <c r="A29" s="73" t="s">
        <v>54</v>
      </c>
      <c r="B29" s="35"/>
      <c r="C29" s="81">
        <f>SUM(C22:C28)</f>
        <v>3472120000</v>
      </c>
      <c r="D29" s="70"/>
      <c r="E29" s="71"/>
      <c r="F29" s="71"/>
      <c r="G29" s="72"/>
    </row>
    <row r="30" spans="1:7" ht="19.5" thickBot="1">
      <c r="A30" s="133" t="s">
        <v>37</v>
      </c>
      <c r="B30" s="71"/>
      <c r="C30" s="82">
        <f>C17+C29</f>
        <v>3850040000</v>
      </c>
      <c r="D30" s="70"/>
      <c r="E30" s="134" t="s">
        <v>36</v>
      </c>
      <c r="F30" s="71"/>
      <c r="G30" s="82">
        <f>G20+G27</f>
        <v>3850040000</v>
      </c>
    </row>
    <row r="31" spans="1:7" ht="16.5" thickTop="1">
      <c r="A31" s="70"/>
      <c r="B31" s="71"/>
      <c r="C31" s="71"/>
      <c r="D31" s="70"/>
      <c r="E31" s="71"/>
      <c r="F31" s="71"/>
      <c r="G31" s="83"/>
    </row>
    <row r="32" spans="1:7" ht="15.75">
      <c r="A32" s="84"/>
      <c r="B32" s="85"/>
      <c r="C32" s="85"/>
      <c r="D32" s="84"/>
      <c r="E32" s="85"/>
      <c r="F32" s="85"/>
      <c r="G32" s="86"/>
    </row>
  </sheetData>
  <sheetProtection/>
  <mergeCells count="4">
    <mergeCell ref="E6:F6"/>
    <mergeCell ref="A1:G1"/>
    <mergeCell ref="A2:G2"/>
    <mergeCell ref="A3:G3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82"/>
  <sheetViews>
    <sheetView zoomScalePageLayoutView="0" workbookViewId="0" topLeftCell="A1">
      <selection activeCell="F74" sqref="F74"/>
    </sheetView>
  </sheetViews>
  <sheetFormatPr defaultColWidth="9.140625" defaultRowHeight="15"/>
  <cols>
    <col min="2" max="2" width="33.28125" style="0" customWidth="1"/>
    <col min="3" max="3" width="27.00390625" style="0" customWidth="1"/>
    <col min="4" max="4" width="20.8515625" style="0" customWidth="1"/>
    <col min="5" max="5" width="16.421875" style="0" customWidth="1"/>
    <col min="6" max="6" width="17.00390625" style="148" customWidth="1"/>
    <col min="7" max="7" width="17.57421875" style="0" customWidth="1"/>
    <col min="8" max="8" width="17.140625" style="0" customWidth="1"/>
    <col min="9" max="9" width="17.00390625" style="0" customWidth="1"/>
  </cols>
  <sheetData>
    <row r="2" spans="2:6" ht="18.75">
      <c r="B2" s="145" t="s">
        <v>131</v>
      </c>
      <c r="F2" s="131" t="s">
        <v>141</v>
      </c>
    </row>
    <row r="3" spans="2:5" ht="15.75">
      <c r="B3" s="35"/>
      <c r="C3" s="34" t="s">
        <v>132</v>
      </c>
      <c r="D3" s="75">
        <f>NERACA!C17</f>
        <v>377920000</v>
      </c>
      <c r="E3" s="35"/>
    </row>
    <row r="4" spans="2:6" ht="18.75">
      <c r="B4" s="35" t="s">
        <v>134</v>
      </c>
      <c r="C4" s="149" t="s">
        <v>137</v>
      </c>
      <c r="D4" s="146" t="s">
        <v>137</v>
      </c>
      <c r="E4" s="35">
        <f>+(D3/D5)</f>
        <v>1.2769293147722665</v>
      </c>
      <c r="F4" s="154" t="s">
        <v>142</v>
      </c>
    </row>
    <row r="5" spans="2:6" ht="18.75">
      <c r="B5" s="35"/>
      <c r="C5" s="34" t="s">
        <v>133</v>
      </c>
      <c r="D5" s="75">
        <f>NERACA!G14</f>
        <v>295960000</v>
      </c>
      <c r="E5" s="35"/>
      <c r="F5" s="154"/>
    </row>
    <row r="6" spans="2:6" ht="18.75">
      <c r="B6" s="35"/>
      <c r="C6" s="34"/>
      <c r="D6" s="71"/>
      <c r="E6" s="35"/>
      <c r="F6" s="154"/>
    </row>
    <row r="7" spans="2:6" ht="18.75">
      <c r="B7" s="35"/>
      <c r="C7" s="34" t="s">
        <v>136</v>
      </c>
      <c r="D7" s="147">
        <f>+D3-(165000000)</f>
        <v>212920000</v>
      </c>
      <c r="E7" s="35"/>
      <c r="F7" s="154"/>
    </row>
    <row r="8" spans="2:6" ht="18.75">
      <c r="B8" s="35" t="s">
        <v>135</v>
      </c>
      <c r="C8" s="149" t="s">
        <v>138</v>
      </c>
      <c r="D8" s="146" t="s">
        <v>137</v>
      </c>
      <c r="E8" s="35">
        <f>+(D7/D9)</f>
        <v>0.7194215434518179</v>
      </c>
      <c r="F8" s="154" t="s">
        <v>143</v>
      </c>
    </row>
    <row r="9" spans="2:6" ht="18.75">
      <c r="B9" s="35"/>
      <c r="C9" s="34" t="s">
        <v>133</v>
      </c>
      <c r="D9" s="75">
        <f>NERACA!G14</f>
        <v>295960000</v>
      </c>
      <c r="E9" s="35"/>
      <c r="F9" s="154"/>
    </row>
    <row r="10" spans="2:6" ht="18.75">
      <c r="B10" s="35"/>
      <c r="C10" s="34"/>
      <c r="D10" s="35"/>
      <c r="E10" s="35"/>
      <c r="F10" s="154"/>
    </row>
    <row r="11" spans="2:6" ht="18.75">
      <c r="B11" s="35"/>
      <c r="C11" s="34" t="s">
        <v>140</v>
      </c>
      <c r="D11" s="75">
        <f>NERACA!C9</f>
        <v>84600000</v>
      </c>
      <c r="E11" s="35"/>
      <c r="F11" s="154"/>
    </row>
    <row r="12" spans="2:6" ht="18.75">
      <c r="B12" s="35" t="s">
        <v>139</v>
      </c>
      <c r="C12" s="149" t="s">
        <v>138</v>
      </c>
      <c r="D12" s="146" t="s">
        <v>137</v>
      </c>
      <c r="E12" s="35">
        <f>+(D11/D13)</f>
        <v>0.2858494391133937</v>
      </c>
      <c r="F12" s="154" t="s">
        <v>143</v>
      </c>
    </row>
    <row r="13" spans="2:5" ht="15.75">
      <c r="B13" s="35"/>
      <c r="C13" s="34" t="s">
        <v>133</v>
      </c>
      <c r="D13" s="75">
        <f>NERACA!G14</f>
        <v>295960000</v>
      </c>
      <c r="E13" s="35"/>
    </row>
    <row r="14" spans="2:5" ht="15.75">
      <c r="B14" s="35"/>
      <c r="C14" s="35"/>
      <c r="D14" s="35"/>
      <c r="E14" s="35"/>
    </row>
    <row r="16" spans="2:6" ht="18.75">
      <c r="B16" s="145" t="s">
        <v>144</v>
      </c>
      <c r="F16" s="154"/>
    </row>
    <row r="17" spans="2:7" ht="18.75">
      <c r="B17" s="35"/>
      <c r="C17" s="34" t="s">
        <v>147</v>
      </c>
      <c r="D17" s="75">
        <f>NERACA!G20</f>
        <v>1735960000</v>
      </c>
      <c r="E17" s="35"/>
      <c r="F17" s="154"/>
      <c r="G17" s="35"/>
    </row>
    <row r="18" spans="2:7" ht="18.75">
      <c r="B18" s="35" t="s">
        <v>146</v>
      </c>
      <c r="C18" s="149" t="s">
        <v>138</v>
      </c>
      <c r="D18" s="146" t="s">
        <v>138</v>
      </c>
      <c r="E18" s="35">
        <f>+(D17/D19)</f>
        <v>0.4508940166855409</v>
      </c>
      <c r="F18" s="154" t="s">
        <v>142</v>
      </c>
      <c r="G18" s="35"/>
    </row>
    <row r="19" spans="2:7" ht="15.75">
      <c r="B19" s="34" t="s">
        <v>145</v>
      </c>
      <c r="C19" s="34" t="s">
        <v>148</v>
      </c>
      <c r="D19" s="75">
        <f>NERACA!C30</f>
        <v>3850040000</v>
      </c>
      <c r="E19" s="35"/>
      <c r="G19" s="35"/>
    </row>
    <row r="20" spans="2:7" ht="18.75">
      <c r="B20" s="34"/>
      <c r="C20" s="34"/>
      <c r="D20" s="35"/>
      <c r="E20" s="35"/>
      <c r="F20" s="154"/>
      <c r="G20" s="35"/>
    </row>
    <row r="21" spans="2:7" ht="18.75">
      <c r="B21" s="35"/>
      <c r="C21" s="34" t="s">
        <v>147</v>
      </c>
      <c r="D21" s="75">
        <f>NERACA!G20</f>
        <v>1735960000</v>
      </c>
      <c r="E21" s="35"/>
      <c r="F21" s="154"/>
      <c r="G21" s="35"/>
    </row>
    <row r="22" spans="2:7" ht="18.75">
      <c r="B22" s="35" t="s">
        <v>149</v>
      </c>
      <c r="C22" s="149" t="s">
        <v>138</v>
      </c>
      <c r="D22" s="146" t="s">
        <v>138</v>
      </c>
      <c r="E22" s="35">
        <f>+(D21/D23)</f>
        <v>0.8211420570650118</v>
      </c>
      <c r="F22" s="154" t="s">
        <v>142</v>
      </c>
      <c r="G22" s="35"/>
    </row>
    <row r="23" spans="2:7" ht="18.75">
      <c r="B23" s="34" t="s">
        <v>150</v>
      </c>
      <c r="C23" s="34" t="s">
        <v>151</v>
      </c>
      <c r="D23" s="75">
        <f>NERACA!G27</f>
        <v>2114080000</v>
      </c>
      <c r="E23" s="35"/>
      <c r="F23" s="154"/>
      <c r="G23" s="35"/>
    </row>
    <row r="24" spans="2:7" ht="18.75">
      <c r="B24" s="35"/>
      <c r="C24" s="34"/>
      <c r="D24" s="35"/>
      <c r="E24" s="35"/>
      <c r="F24" s="154"/>
      <c r="G24" s="35"/>
    </row>
    <row r="25" spans="2:7" ht="18.75">
      <c r="B25" s="35"/>
      <c r="C25" s="34" t="s">
        <v>154</v>
      </c>
      <c r="D25" s="75">
        <f>LR!D37</f>
        <v>237655000</v>
      </c>
      <c r="E25" s="35"/>
      <c r="F25" s="154"/>
      <c r="G25" s="35"/>
    </row>
    <row r="26" spans="2:7" ht="18.75">
      <c r="B26" s="35" t="s">
        <v>152</v>
      </c>
      <c r="C26" s="149" t="s">
        <v>138</v>
      </c>
      <c r="D26" s="146" t="s">
        <v>138</v>
      </c>
      <c r="E26" s="35">
        <f>+(D25/D27)</f>
        <v>1.5804156275976724</v>
      </c>
      <c r="F26" s="154" t="s">
        <v>142</v>
      </c>
      <c r="G26" s="35"/>
    </row>
    <row r="27" spans="2:7" ht="18.75">
      <c r="B27" s="34" t="s">
        <v>153</v>
      </c>
      <c r="C27" s="34" t="s">
        <v>155</v>
      </c>
      <c r="D27" s="75">
        <f>LR!B40</f>
        <v>150375000</v>
      </c>
      <c r="E27" s="35"/>
      <c r="F27" s="154"/>
      <c r="G27" s="35"/>
    </row>
    <row r="28" spans="2:7" ht="18.75">
      <c r="B28" s="35"/>
      <c r="C28" s="34"/>
      <c r="D28" s="35"/>
      <c r="E28" s="35"/>
      <c r="F28" s="154"/>
      <c r="G28" s="35"/>
    </row>
    <row r="29" spans="2:7" ht="18.75">
      <c r="B29" s="35"/>
      <c r="C29" s="34" t="s">
        <v>157</v>
      </c>
      <c r="D29" s="147">
        <f>+(D25)+0</f>
        <v>237655000</v>
      </c>
      <c r="E29" s="35"/>
      <c r="F29" s="154"/>
      <c r="G29" s="35"/>
    </row>
    <row r="30" spans="2:7" ht="18.75">
      <c r="B30" s="35" t="s">
        <v>156</v>
      </c>
      <c r="C30" s="149" t="s">
        <v>138</v>
      </c>
      <c r="D30" s="146" t="s">
        <v>138</v>
      </c>
      <c r="E30" s="35">
        <f>+(D29/D31)</f>
        <v>1.5804156275976724</v>
      </c>
      <c r="F30" s="154" t="s">
        <v>142</v>
      </c>
      <c r="G30" s="35"/>
    </row>
    <row r="31" spans="2:7" ht="18.75">
      <c r="B31" s="35"/>
      <c r="C31" s="34" t="s">
        <v>158</v>
      </c>
      <c r="D31" s="147">
        <f>+(D27)+0</f>
        <v>150375000</v>
      </c>
      <c r="E31" s="35"/>
      <c r="F31" s="154"/>
      <c r="G31" s="35"/>
    </row>
    <row r="32" spans="2:7" ht="18.75">
      <c r="B32" s="35"/>
      <c r="C32" s="34"/>
      <c r="D32" s="35"/>
      <c r="E32" s="35"/>
      <c r="F32" s="154"/>
      <c r="G32" s="35"/>
    </row>
    <row r="34" ht="18.75">
      <c r="B34" s="145" t="s">
        <v>160</v>
      </c>
    </row>
    <row r="35" spans="3:4" ht="15.75">
      <c r="C35" s="34" t="s">
        <v>162</v>
      </c>
      <c r="D35" s="150">
        <f>LR!D10</f>
        <v>2553200000</v>
      </c>
    </row>
    <row r="36" spans="2:6" ht="15.75">
      <c r="B36" t="s">
        <v>161</v>
      </c>
      <c r="C36" s="149" t="s">
        <v>138</v>
      </c>
      <c r="D36" s="149" t="s">
        <v>138</v>
      </c>
      <c r="E36" s="152">
        <f>+D35/D37</f>
        <v>0.6631619411746371</v>
      </c>
      <c r="F36" s="34" t="s">
        <v>143</v>
      </c>
    </row>
    <row r="37" spans="3:6" ht="15.75">
      <c r="C37" s="34" t="s">
        <v>163</v>
      </c>
      <c r="D37" s="150">
        <f>NERACA!C30</f>
        <v>3850040000</v>
      </c>
      <c r="F37" s="34"/>
    </row>
    <row r="38" spans="3:6" ht="15.75">
      <c r="C38" s="148"/>
      <c r="D38" s="34"/>
      <c r="F38" s="34"/>
    </row>
    <row r="39" spans="3:6" ht="15.75">
      <c r="C39" s="34" t="s">
        <v>162</v>
      </c>
      <c r="D39" s="150">
        <f>LR!D10</f>
        <v>2553200000</v>
      </c>
      <c r="F39" s="34"/>
    </row>
    <row r="40" spans="2:6" ht="15.75">
      <c r="B40" t="s">
        <v>164</v>
      </c>
      <c r="C40" s="149" t="s">
        <v>138</v>
      </c>
      <c r="D40" s="149" t="s">
        <v>138</v>
      </c>
      <c r="E40" s="152">
        <f>+D39/D41</f>
        <v>31.151781356759393</v>
      </c>
      <c r="F40" s="34" t="s">
        <v>142</v>
      </c>
    </row>
    <row r="41" spans="3:6" ht="15.75">
      <c r="C41" s="34" t="s">
        <v>165</v>
      </c>
      <c r="D41" s="151">
        <f>+(D3-D5)</f>
        <v>81960000</v>
      </c>
      <c r="F41" s="34"/>
    </row>
    <row r="42" spans="3:6" ht="15.75">
      <c r="C42" s="148"/>
      <c r="D42" s="34"/>
      <c r="F42" s="34"/>
    </row>
    <row r="43" spans="3:6" ht="15.75">
      <c r="C43" s="34" t="s">
        <v>168</v>
      </c>
      <c r="D43" s="150">
        <f>LR!E7</f>
        <v>2577500000</v>
      </c>
      <c r="F43" s="34"/>
    </row>
    <row r="44" spans="2:6" ht="15.75">
      <c r="B44" t="s">
        <v>166</v>
      </c>
      <c r="C44" s="149" t="s">
        <v>138</v>
      </c>
      <c r="D44" s="149" t="s">
        <v>138</v>
      </c>
      <c r="E44" s="152">
        <f>+D43/D45</f>
        <v>21.479166666666668</v>
      </c>
      <c r="F44" s="34" t="s">
        <v>142</v>
      </c>
    </row>
    <row r="45" spans="2:6" ht="15.75">
      <c r="B45" s="148" t="s">
        <v>170</v>
      </c>
      <c r="C45" s="34" t="s">
        <v>167</v>
      </c>
      <c r="D45" s="150">
        <f>NERACA!C12</f>
        <v>120000000</v>
      </c>
      <c r="F45" s="34"/>
    </row>
    <row r="46" spans="3:6" ht="15.75">
      <c r="C46" s="148"/>
      <c r="D46" s="34"/>
      <c r="F46" s="34"/>
    </row>
    <row r="47" spans="3:6" ht="15.75">
      <c r="C47" s="34" t="s">
        <v>171</v>
      </c>
      <c r="D47" s="34">
        <v>360</v>
      </c>
      <c r="F47" s="34"/>
    </row>
    <row r="48" spans="2:6" ht="15.75">
      <c r="B48" t="s">
        <v>169</v>
      </c>
      <c r="C48" s="149" t="s">
        <v>138</v>
      </c>
      <c r="D48" s="149" t="s">
        <v>138</v>
      </c>
      <c r="E48" s="152">
        <f>+D47/D49</f>
        <v>16.76042677012609</v>
      </c>
      <c r="F48" s="34" t="s">
        <v>142</v>
      </c>
    </row>
    <row r="49" spans="3:6" ht="15.75">
      <c r="C49" s="34" t="s">
        <v>172</v>
      </c>
      <c r="D49" s="153">
        <f>+E44</f>
        <v>21.479166666666668</v>
      </c>
      <c r="F49" s="34"/>
    </row>
    <row r="50" spans="4:6" ht="15.75">
      <c r="D50" s="34"/>
      <c r="F50" s="34"/>
    </row>
    <row r="51" spans="3:6" ht="15.75">
      <c r="C51" s="34" t="s">
        <v>175</v>
      </c>
      <c r="D51" s="150">
        <f>LR!D22</f>
        <v>577560000</v>
      </c>
      <c r="F51" s="34"/>
    </row>
    <row r="52" spans="2:6" ht="15.75">
      <c r="B52" t="s">
        <v>173</v>
      </c>
      <c r="C52" s="149" t="s">
        <v>138</v>
      </c>
      <c r="D52" s="149" t="s">
        <v>138</v>
      </c>
      <c r="E52" s="152">
        <f>+D51/D53</f>
        <v>3.5003636363636366</v>
      </c>
      <c r="F52" s="34" t="s">
        <v>143</v>
      </c>
    </row>
    <row r="53" spans="2:6" ht="15.75">
      <c r="B53" s="148" t="s">
        <v>174</v>
      </c>
      <c r="C53" s="34" t="s">
        <v>176</v>
      </c>
      <c r="D53" s="150">
        <f>NERACA!C14</f>
        <v>165000000</v>
      </c>
      <c r="F53" s="34"/>
    </row>
    <row r="54" spans="4:6" ht="15.75">
      <c r="D54" s="34"/>
      <c r="F54" s="34"/>
    </row>
    <row r="55" spans="3:6" ht="15.75">
      <c r="C55" s="34" t="s">
        <v>171</v>
      </c>
      <c r="D55" s="34">
        <v>360</v>
      </c>
      <c r="F55" s="34"/>
    </row>
    <row r="56" spans="2:6" ht="15.75">
      <c r="B56" t="s">
        <v>177</v>
      </c>
      <c r="C56" s="149" t="s">
        <v>138</v>
      </c>
      <c r="D56" s="149" t="s">
        <v>138</v>
      </c>
      <c r="E56" s="152">
        <f>+D55/D57</f>
        <v>102.84645751090795</v>
      </c>
      <c r="F56" s="34" t="s">
        <v>143</v>
      </c>
    </row>
    <row r="57" spans="3:6" ht="15.75">
      <c r="C57" s="34" t="s">
        <v>178</v>
      </c>
      <c r="D57" s="153">
        <f>+E52</f>
        <v>3.5003636363636366</v>
      </c>
      <c r="F57" s="34"/>
    </row>
    <row r="58" ht="15.75">
      <c r="D58" s="35"/>
    </row>
    <row r="60" ht="18.75">
      <c r="B60" s="145" t="s">
        <v>179</v>
      </c>
    </row>
    <row r="62" spans="3:6" ht="15.75">
      <c r="C62" s="34" t="s">
        <v>181</v>
      </c>
      <c r="D62" s="150">
        <f>LR!D23</f>
        <v>1975640000</v>
      </c>
      <c r="F62" s="34"/>
    </row>
    <row r="63" spans="2:6" ht="15.75">
      <c r="B63" s="35" t="s">
        <v>180</v>
      </c>
      <c r="C63" s="149" t="s">
        <v>138</v>
      </c>
      <c r="D63" s="149" t="s">
        <v>138</v>
      </c>
      <c r="E63" s="152">
        <f>+D62/D64</f>
        <v>0.7664946653734238</v>
      </c>
      <c r="F63" s="34" t="s">
        <v>142</v>
      </c>
    </row>
    <row r="64" spans="2:6" ht="15.75">
      <c r="B64" s="35"/>
      <c r="C64" s="34" t="s">
        <v>162</v>
      </c>
      <c r="D64" s="150">
        <f>LR!E7</f>
        <v>2577500000</v>
      </c>
      <c r="F64" s="34"/>
    </row>
    <row r="65" spans="2:6" ht="15.75">
      <c r="B65" s="35"/>
      <c r="F65" s="34"/>
    </row>
    <row r="66" spans="2:6" ht="15.75">
      <c r="B66" s="35"/>
      <c r="C66" s="148" t="s">
        <v>183</v>
      </c>
      <c r="D66" s="150">
        <f>LR!D43</f>
        <v>87280000</v>
      </c>
      <c r="F66" s="34"/>
    </row>
    <row r="67" spans="2:6" ht="15.75">
      <c r="B67" s="35" t="s">
        <v>182</v>
      </c>
      <c r="C67" s="149" t="s">
        <v>138</v>
      </c>
      <c r="D67" s="149" t="s">
        <v>138</v>
      </c>
      <c r="E67" s="152">
        <f>+D66/D68</f>
        <v>0.03386226964112512</v>
      </c>
      <c r="F67" s="34" t="s">
        <v>142</v>
      </c>
    </row>
    <row r="68" spans="3:6" ht="15.75">
      <c r="C68" s="148" t="s">
        <v>184</v>
      </c>
      <c r="D68" s="150">
        <f>LR!E7</f>
        <v>2577500000</v>
      </c>
      <c r="F68" s="34"/>
    </row>
    <row r="69" ht="15.75">
      <c r="F69" s="34"/>
    </row>
    <row r="70" spans="3:6" ht="15.75">
      <c r="C70" s="148" t="s">
        <v>183</v>
      </c>
      <c r="D70" s="150">
        <f>LR!D43</f>
        <v>87280000</v>
      </c>
      <c r="F70" s="34"/>
    </row>
    <row r="71" spans="2:6" ht="15.75">
      <c r="B71" t="s">
        <v>185</v>
      </c>
      <c r="C71" s="149" t="s">
        <v>138</v>
      </c>
      <c r="D71" s="149" t="s">
        <v>138</v>
      </c>
      <c r="E71" s="152">
        <f>+D70/D72</f>
        <v>0.022669894338760117</v>
      </c>
      <c r="F71" s="34" t="s">
        <v>142</v>
      </c>
    </row>
    <row r="72" spans="3:6" ht="15.75">
      <c r="C72" s="148" t="s">
        <v>148</v>
      </c>
      <c r="D72" s="150">
        <f>NERACA!C30</f>
        <v>3850040000</v>
      </c>
      <c r="F72" s="34"/>
    </row>
    <row r="73" ht="15.75">
      <c r="F73" s="34"/>
    </row>
    <row r="74" spans="3:6" ht="15.75">
      <c r="C74" s="148" t="s">
        <v>183</v>
      </c>
      <c r="D74" s="150">
        <f>LR!D43</f>
        <v>87280000</v>
      </c>
      <c r="F74" s="34"/>
    </row>
    <row r="75" spans="2:6" ht="15.75">
      <c r="B75" t="s">
        <v>186</v>
      </c>
      <c r="C75" s="149" t="s">
        <v>138</v>
      </c>
      <c r="D75" s="149" t="s">
        <v>138</v>
      </c>
      <c r="E75" s="152">
        <f>+D74/D76</f>
        <v>0.041285098009536066</v>
      </c>
      <c r="F75" s="34" t="s">
        <v>142</v>
      </c>
    </row>
    <row r="76" spans="3:6" ht="15.75">
      <c r="C76" s="148" t="s">
        <v>187</v>
      </c>
      <c r="D76" s="150">
        <f>NERACA!G27</f>
        <v>2114080000</v>
      </c>
      <c r="F76" s="34"/>
    </row>
    <row r="77" ht="15.75">
      <c r="F77" s="34"/>
    </row>
    <row r="78" ht="15.75">
      <c r="F78" s="34"/>
    </row>
    <row r="79" ht="15.75">
      <c r="F79" s="34"/>
    </row>
    <row r="80" ht="15.75">
      <c r="F80" s="34"/>
    </row>
    <row r="81" ht="15.75">
      <c r="F81" s="34"/>
    </row>
    <row r="82" ht="15.75">
      <c r="F82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Farida</dc:creator>
  <cp:keywords/>
  <dc:description/>
  <cp:lastModifiedBy>FE STAFF</cp:lastModifiedBy>
  <cp:lastPrinted>2017-04-22T06:02:09Z</cp:lastPrinted>
  <dcterms:created xsi:type="dcterms:W3CDTF">2013-01-02T11:06:47Z</dcterms:created>
  <dcterms:modified xsi:type="dcterms:W3CDTF">2017-11-18T01:05:35Z</dcterms:modified>
  <cp:category/>
  <cp:version/>
  <cp:contentType/>
  <cp:contentStatus/>
</cp:coreProperties>
</file>