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5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'Sheet1'!$A$1:$K$647</definedName>
  </definedNames>
  <calcPr fullCalcOnLoad="1"/>
</workbook>
</file>

<file path=xl/sharedStrings.xml><?xml version="1.0" encoding="utf-8"?>
<sst xmlns="http://schemas.openxmlformats.org/spreadsheetml/2006/main" count="662" uniqueCount="456">
  <si>
    <t>A.</t>
  </si>
  <si>
    <t>ASPEK ORGANISASI</t>
  </si>
  <si>
    <t>Nama perusahaan</t>
  </si>
  <si>
    <t>Bidang usaha</t>
  </si>
  <si>
    <t>Jumlah karyawan</t>
  </si>
  <si>
    <t>Badan hukum</t>
  </si>
  <si>
    <t>Alamat perusahaan</t>
  </si>
  <si>
    <t>Telpon,fax,HP,e-mail,home page</t>
  </si>
  <si>
    <t>Tahun berdiri dan info lain</t>
  </si>
  <si>
    <t>B</t>
  </si>
  <si>
    <t>PEMASARAN</t>
  </si>
  <si>
    <t>Produk yang dipasarkan</t>
  </si>
  <si>
    <t>Keunggulan dengan pesaing</t>
  </si>
  <si>
    <t>Target pembeli</t>
  </si>
  <si>
    <t>Daerah penjualan</t>
  </si>
  <si>
    <t>Penjualan per tahun</t>
  </si>
  <si>
    <t>C</t>
  </si>
  <si>
    <t>PRODUKSI</t>
  </si>
  <si>
    <t>Status lokasi (sewa/milik sendiri)</t>
  </si>
  <si>
    <t>Nama mesin utama</t>
  </si>
  <si>
    <t>D</t>
  </si>
  <si>
    <t>KEUANGAN</t>
  </si>
  <si>
    <t>Kredit (Rp)</t>
  </si>
  <si>
    <t>Modal sendiri (Rp)</t>
  </si>
  <si>
    <t>Total beaya pengembangan (Rp)</t>
  </si>
  <si>
    <t>Laba bersih per tahun (Rp)</t>
  </si>
  <si>
    <t>Return on investment/ROI (%)</t>
  </si>
  <si>
    <t>Break even point/BEP (%)</t>
  </si>
  <si>
    <t>UMUM</t>
  </si>
  <si>
    <t>Nama Pemilik</t>
  </si>
  <si>
    <t>Nama pimpinan</t>
  </si>
  <si>
    <t>Nama Perusahaan</t>
  </si>
  <si>
    <t>Telpon,fax,hp,e-mail</t>
  </si>
  <si>
    <t>home page</t>
  </si>
  <si>
    <t>B.</t>
  </si>
  <si>
    <t>PIMPINAN DAN STAF</t>
  </si>
  <si>
    <t>Pimpinan</t>
  </si>
  <si>
    <t>Jabatan</t>
  </si>
  <si>
    <t>Jumlah</t>
  </si>
  <si>
    <t>Gaji/bulan</t>
  </si>
  <si>
    <t>per orang</t>
  </si>
  <si>
    <t>per bulan</t>
  </si>
  <si>
    <t>Gaji pimpinan per tahun (x12)</t>
  </si>
  <si>
    <t>Gaji staf per tahun (x12)</t>
  </si>
  <si>
    <t xml:space="preserve">ADMINISTRASI, IURAN, SUMBANGAN DLL </t>
  </si>
  <si>
    <t>1</t>
  </si>
  <si>
    <t>3</t>
  </si>
  <si>
    <t>4</t>
  </si>
  <si>
    <t>5</t>
  </si>
  <si>
    <t>Jumlah beaya administrasi per bulan</t>
  </si>
  <si>
    <t>Administrasi, iuran, sumbangan dll per tahun (x12)</t>
  </si>
  <si>
    <t>PERIJINAN (BEAYA PENDIRIAN)</t>
  </si>
  <si>
    <t>No</t>
  </si>
  <si>
    <t>Uraian</t>
  </si>
  <si>
    <t>2.</t>
  </si>
  <si>
    <t>3.</t>
  </si>
  <si>
    <t>6</t>
  </si>
  <si>
    <t>7</t>
  </si>
  <si>
    <t>ASPEK PEMASARAN</t>
  </si>
  <si>
    <t>A</t>
  </si>
  <si>
    <t>URAIAN PEMBELI</t>
  </si>
  <si>
    <t>Jenis barang/jasa yang dijual</t>
  </si>
  <si>
    <t>Keunggulan produk</t>
  </si>
  <si>
    <t>dibandingkan pesaing</t>
  </si>
  <si>
    <t>(kota, negara, export, dsb)</t>
  </si>
  <si>
    <t>(target, kelas pembeli)</t>
  </si>
  <si>
    <t>(jenis, mutu,dsb)</t>
  </si>
  <si>
    <t>PENJUALAN</t>
  </si>
  <si>
    <t>Tahun</t>
  </si>
  <si>
    <t>PERSAINGAN</t>
  </si>
  <si>
    <t>Pesaing utama</t>
  </si>
  <si>
    <t>Nama pesaing utama</t>
  </si>
  <si>
    <t>Keunggulan pesaing (produk, harga, promosi &amp; distribusi)</t>
  </si>
  <si>
    <t>Program pemasaran perusahaan</t>
  </si>
  <si>
    <t>Keterangan</t>
  </si>
  <si>
    <t>PRODUK (PRODUCT)</t>
  </si>
  <si>
    <t>HARGA (PRICE)</t>
  </si>
  <si>
    <t>DISTRIBUSI (PLACE)</t>
  </si>
  <si>
    <t>Langsung konsumen/</t>
  </si>
  <si>
    <t>agen,lokasi dll</t>
  </si>
  <si>
    <t>brosur, diskon, dll</t>
  </si>
  <si>
    <t>Beaya promosi/bulan</t>
  </si>
  <si>
    <t>Beaya distribusi/bulan</t>
  </si>
  <si>
    <t>Beaya pemasaran per tahun (x12)</t>
  </si>
  <si>
    <t>E</t>
  </si>
  <si>
    <t>F</t>
  </si>
  <si>
    <t>JADUAL KEGIATAN PRA PENGEMBANGAN</t>
  </si>
  <si>
    <t>Kegiatan pra pengembangan</t>
  </si>
  <si>
    <t>Pelatihan,manajemen dll.</t>
  </si>
  <si>
    <t>Survey pasar</t>
  </si>
  <si>
    <t>Survey lokasi</t>
  </si>
  <si>
    <t>Survey mesin &amp; alat</t>
  </si>
  <si>
    <t>Pengurusan perijinan</t>
  </si>
  <si>
    <t>Renovasi tempat</t>
  </si>
  <si>
    <t>Pembelian mesin</t>
  </si>
  <si>
    <t>Instalasi msn,lstk,air,tlp,dll</t>
  </si>
  <si>
    <t>Mencari tenaga kerja</t>
  </si>
  <si>
    <t>Uji coba produksi</t>
  </si>
  <si>
    <t>Uji coba pasar</t>
  </si>
  <si>
    <t>Produksi komersial</t>
  </si>
  <si>
    <t>Bulan Pelaksanaan</t>
  </si>
  <si>
    <t>ASPEK PRODUKSI</t>
  </si>
  <si>
    <t>DAFTAR HARTA TETAP YANG HANYA UNTUK USAHA (Saat ini dan rencana pembeliannya)</t>
  </si>
  <si>
    <t>TANAH (Lokasi)</t>
  </si>
  <si>
    <t>BANGUNAN (Lokasi)</t>
  </si>
  <si>
    <t>MESIN &amp; PERALATAN</t>
  </si>
  <si>
    <t>INVENTARIS KANTOR</t>
  </si>
  <si>
    <t>KENDARAAN</t>
  </si>
  <si>
    <t>KONTRAK DIBAYAR DIMUKA</t>
  </si>
  <si>
    <t>Saat ini dan rencana (tanah, bangunan, mesin, kendaraan, dll)</t>
  </si>
  <si>
    <t>Nama</t>
  </si>
  <si>
    <t>Jumlah nilai kontrak</t>
  </si>
  <si>
    <t>G</t>
  </si>
  <si>
    <t>BEAYA SEWA</t>
  </si>
  <si>
    <t>Saat ini &amp; rencana</t>
  </si>
  <si>
    <t>Tanah</t>
  </si>
  <si>
    <t>Bangunan</t>
  </si>
  <si>
    <t>Mesin &amp;</t>
  </si>
  <si>
    <t>Kendaraan</t>
  </si>
  <si>
    <t>Jumlah beaya sewa/bulan</t>
  </si>
  <si>
    <t>Beaya sewa per tahun (x12)</t>
  </si>
  <si>
    <t>H</t>
  </si>
  <si>
    <t>Kebutuhan/bulan</t>
  </si>
  <si>
    <t>Saat ini dan rencana</t>
  </si>
  <si>
    <t>pengembangannya</t>
  </si>
  <si>
    <t>Bahan baku per tahun (x12)</t>
  </si>
  <si>
    <t>Pemasok Utama</t>
  </si>
  <si>
    <t>Bahan Baku</t>
  </si>
  <si>
    <t>Nama Pemasok</t>
  </si>
  <si>
    <t>I</t>
  </si>
  <si>
    <t>UPAH TENAGA PRODUKSI</t>
  </si>
  <si>
    <t>Sistem upah</t>
  </si>
  <si>
    <t>Harian/bulanan</t>
  </si>
  <si>
    <t>Borongan</t>
  </si>
  <si>
    <t>Upah tenaga produksi per tahun (x12)</t>
  </si>
  <si>
    <t>J</t>
  </si>
  <si>
    <t>Beaya pemeliharaan dll</t>
  </si>
  <si>
    <t>Mesin/alat</t>
  </si>
  <si>
    <t>K</t>
  </si>
  <si>
    <t>ALAT TULIS KANTOR</t>
  </si>
  <si>
    <t>pengembangannnya</t>
  </si>
  <si>
    <t>L</t>
  </si>
  <si>
    <t>ASPEK KEUANGAN</t>
  </si>
  <si>
    <t>BEAYA PENGEMBANGAN</t>
  </si>
  <si>
    <t>(Dalam rupiah)</t>
  </si>
  <si>
    <t>KETERANGAN</t>
  </si>
  <si>
    <t>HARTA TETAP</t>
  </si>
  <si>
    <t>Mesin &amp; Alat</t>
  </si>
  <si>
    <t>Inventaris kantor</t>
  </si>
  <si>
    <t>Jumlah Harta Tetap</t>
  </si>
  <si>
    <t>HARTA TAK BERUJUT/LAIN</t>
  </si>
  <si>
    <t>Perijinan</t>
  </si>
  <si>
    <t>Pra pengembangan</t>
  </si>
  <si>
    <t>Jumlah Harta Tak Berujut</t>
  </si>
  <si>
    <t>JUMLAH INVESTASI (Harta Tetap+Tak Berujut)</t>
  </si>
  <si>
    <t>MODAL KERJA</t>
  </si>
  <si>
    <t>BEAYA POKOK PRODUKSI</t>
  </si>
  <si>
    <t>Bahan baku</t>
  </si>
  <si>
    <t>Upah tenaga produksi</t>
  </si>
  <si>
    <t>II</t>
  </si>
  <si>
    <t>BEAYA OPERASI</t>
  </si>
  <si>
    <t>Gaji pimpinan/pemilik</t>
  </si>
  <si>
    <t>Gaji karyawan/staf</t>
  </si>
  <si>
    <t>Beaya pemasaran</t>
  </si>
  <si>
    <t>Alat tulis kantor</t>
  </si>
  <si>
    <t>Sewa</t>
  </si>
  <si>
    <t>Administrasi dll</t>
  </si>
  <si>
    <t>Jumlah beaya operasi</t>
  </si>
  <si>
    <t>Jumlah beaya I+II</t>
  </si>
  <si>
    <t>RUGI LABA</t>
  </si>
  <si>
    <t>(Dalam Rupiah)</t>
  </si>
  <si>
    <t>LABA KOTOR (A-B)</t>
  </si>
  <si>
    <t>BUNGA</t>
  </si>
  <si>
    <t>PENYUSUTAN</t>
  </si>
  <si>
    <t>AMORTISASI</t>
  </si>
  <si>
    <t>JMLH BEAYA USAHA (D+E+F+G)</t>
  </si>
  <si>
    <t>LABA USAHA (C-H)</t>
  </si>
  <si>
    <t>PAJAK</t>
  </si>
  <si>
    <t>LABA BERSIH (I-J)</t>
  </si>
  <si>
    <t>Mesin &amp; Peralatan</t>
  </si>
  <si>
    <t>Nilai (Rp)</t>
  </si>
  <si>
    <t>Jumlah penyusutan/tahun</t>
  </si>
  <si>
    <t>Jumlah amortisasi/tahun</t>
  </si>
  <si>
    <t>ASUMSI</t>
  </si>
  <si>
    <t>Pajak untuk laba</t>
  </si>
  <si>
    <t>ARUS KAS</t>
  </si>
  <si>
    <t>UANG KAS MASUK</t>
  </si>
  <si>
    <t>Penjualan tunai</t>
  </si>
  <si>
    <t>Penerimaan piutang</t>
  </si>
  <si>
    <t>Modal sendiri</t>
  </si>
  <si>
    <t>Kredit modal kerja</t>
  </si>
  <si>
    <t>Kredit investasi</t>
  </si>
  <si>
    <t>Saldo kas awal</t>
  </si>
  <si>
    <t>UANG KAS KELUAR</t>
  </si>
  <si>
    <t>Investasi</t>
  </si>
  <si>
    <t>Bunga</t>
  </si>
  <si>
    <t>Pajak</t>
  </si>
  <si>
    <t>SELISIH (A-B)</t>
  </si>
  <si>
    <t>KEWAJIBAN KE BANK</t>
  </si>
  <si>
    <t>Angsuran kredit investasi</t>
  </si>
  <si>
    <t>SALDO KAS AKHIR</t>
  </si>
  <si>
    <t>A1</t>
  </si>
  <si>
    <t>A2</t>
  </si>
  <si>
    <t>NERACA</t>
  </si>
  <si>
    <t>HARTA</t>
  </si>
  <si>
    <t>HARTA LANCAR</t>
  </si>
  <si>
    <t>Kas</t>
  </si>
  <si>
    <t>Piutang</t>
  </si>
  <si>
    <t>Sediaan</t>
  </si>
  <si>
    <t>JUMLAH</t>
  </si>
  <si>
    <t>Akumulasi penyusutan</t>
  </si>
  <si>
    <t>NILAI BUKU</t>
  </si>
  <si>
    <t>HARTA TAK BERUJUT</t>
  </si>
  <si>
    <t>Akumulasi amortisasi</t>
  </si>
  <si>
    <t>(A+B+C)</t>
  </si>
  <si>
    <t>UTANG &amp; MODAL</t>
  </si>
  <si>
    <t>UTANG JANGKA PENDEK</t>
  </si>
  <si>
    <t>UTANG JANGKA PANJANG</t>
  </si>
  <si>
    <t>JUMLAH UTANG (A+B)</t>
  </si>
  <si>
    <t>MODAL</t>
  </si>
  <si>
    <t>Akumulasi laba/rugi</t>
  </si>
  <si>
    <t>Laba bersih sekarang</t>
  </si>
  <si>
    <t>JUMLAH MODAL</t>
  </si>
  <si>
    <t>JUMLAH UTANG &amp; MODAL</t>
  </si>
  <si>
    <t>Angs. kredit modal kerja</t>
  </si>
  <si>
    <t>JMLH UANG KAS KELUAR</t>
  </si>
  <si>
    <t>JMLH UANG KAS MASUK</t>
  </si>
  <si>
    <t>JMLH KEWAJIBAN KE BANK</t>
  </si>
  <si>
    <t>Tahun 0</t>
  </si>
  <si>
    <t>Tahun 1</t>
  </si>
  <si>
    <t>Tahun 2</t>
  </si>
  <si>
    <t>Tahun 3</t>
  </si>
  <si>
    <t>Tahun 4</t>
  </si>
  <si>
    <t>Tahun 5</t>
  </si>
  <si>
    <t>(INVESTASI+MODAL KERJA)</t>
  </si>
  <si>
    <t>JUMLAH BEAYA PENGEMBANGAN</t>
  </si>
  <si>
    <t>Bhn bakar</t>
  </si>
  <si>
    <t>Beaya admnistrasi dll. Per bulan</t>
  </si>
  <si>
    <t>Beaya</t>
  </si>
  <si>
    <t>(Rp)</t>
  </si>
  <si>
    <t>1    2    3</t>
  </si>
  <si>
    <t>4    5    6</t>
  </si>
  <si>
    <t>7    8    9</t>
  </si>
  <si>
    <t>10 11 12</t>
  </si>
  <si>
    <t>-</t>
  </si>
  <si>
    <t>……………………………………………………………</t>
  </si>
  <si>
    <t>Jml harga</t>
  </si>
  <si>
    <t>Harga per</t>
  </si>
  <si>
    <t>buah</t>
  </si>
  <si>
    <t>(tgl/bln/th)</t>
  </si>
  <si>
    <t>(Unit)</t>
  </si>
  <si>
    <t>Lokasi/jenis</t>
  </si>
  <si>
    <t>Lama (th)</t>
  </si>
  <si>
    <t>Nilai(Rp)</t>
  </si>
  <si>
    <t>(Rp/bulan)</t>
  </si>
  <si>
    <t>Kendraan</t>
  </si>
  <si>
    <t>BAHAN BAKU &amp; BHN LAIN</t>
  </si>
  <si>
    <t>(Rupiah)</t>
  </si>
  <si>
    <t>Harga sa-</t>
  </si>
  <si>
    <t>tuan (Rp)</t>
  </si>
  <si>
    <t>Jml orang</t>
  </si>
  <si>
    <t>Prod/bln</t>
  </si>
  <si>
    <t>Tarif upah</t>
  </si>
  <si>
    <t>Upah/bln</t>
  </si>
  <si>
    <t>Alat tulis kantor per tahun (x12)</t>
  </si>
  <si>
    <t>SUMBER DANA</t>
  </si>
  <si>
    <t>Modal</t>
  </si>
  <si>
    <t>Sendiri</t>
  </si>
  <si>
    <t>Kredit</t>
  </si>
  <si>
    <t>Umur</t>
  </si>
  <si>
    <t>Beaya operasi</t>
  </si>
  <si>
    <t>JUMLAH HARTA (A+B+C)</t>
  </si>
  <si>
    <t>Rencana Pengembangan Usaha</t>
  </si>
  <si>
    <t>Jenis Usaha</t>
  </si>
  <si>
    <t>Lokasi usaha</t>
  </si>
  <si>
    <t>Disusun oleh:</t>
  </si>
  <si>
    <t>Logo perusahaan</t>
  </si>
  <si>
    <t>……………………………………………………………………..</t>
  </si>
  <si>
    <t>STRUKTUR ORGANISASI DAN NAMA PEJABAT</t>
  </si>
  <si>
    <t>Beaya kegiatan pra pengembangan</t>
  </si>
  <si>
    <t>Putaran sediaan</t>
  </si>
  <si>
    <t>bulan</t>
  </si>
  <si>
    <t>x Rp</t>
  </si>
  <si>
    <t>Kenaikan inflasi per tahun (%)</t>
  </si>
  <si>
    <t>Kenaikan unit per tahun (%)</t>
  </si>
  <si>
    <t>Total kenaikan per tahun (%)</t>
  </si>
  <si>
    <t>Bunga atas sisa pinjaman per tahun (%)</t>
  </si>
  <si>
    <t>Pnyustan</t>
  </si>
  <si>
    <t>D1</t>
  </si>
  <si>
    <t>D2</t>
  </si>
  <si>
    <t>Angsuran kredit modal kerja</t>
  </si>
  <si>
    <t>x Penjualan</t>
  </si>
  <si>
    <t>Lebih kecil</t>
  </si>
  <si>
    <t>Antara</t>
  </si>
  <si>
    <t>s/d</t>
  </si>
  <si>
    <t>Lebih besar</t>
  </si>
  <si>
    <t>Return on investment=(laba/harta)100%</t>
  </si>
  <si>
    <t>Jangka kredit modal kerja</t>
  </si>
  <si>
    <t>Jangka kredit investasi</t>
  </si>
  <si>
    <t>SELISIH KAS</t>
  </si>
  <si>
    <t>JUMLAH 3 s/d 6</t>
  </si>
  <si>
    <t>IRR 3 tahun</t>
  </si>
  <si>
    <t>IRR 5 tahun</t>
  </si>
  <si>
    <t>INTERNAL RATE OF RETURN (IRR)</t>
  </si>
  <si>
    <t>BEP % =(Beaya usaha/laba kotor)100%</t>
  </si>
  <si>
    <t>BEP Rp = BEP% x Penjualan</t>
  </si>
  <si>
    <t>Perbandingan modal, kredit dgn total beaya pengembangan</t>
  </si>
  <si>
    <t>Chek neraca balance</t>
  </si>
  <si>
    <t>PENGELUARAN POKOK PRODUKSI</t>
  </si>
  <si>
    <t>Jumlah pengeluaran pokok produksi</t>
  </si>
  <si>
    <t>SEDIAAN AWAL</t>
  </si>
  <si>
    <t>SEDIAAN AKHIR</t>
  </si>
  <si>
    <t>Jenis</t>
  </si>
  <si>
    <t>Lokasi</t>
  </si>
  <si>
    <t>Air,lstk</t>
  </si>
  <si>
    <t>Telpon</t>
  </si>
  <si>
    <t>Peng. pokok produksi</t>
  </si>
  <si>
    <t>Beaya pemasaran (produk, distribusi &amp; promosi)/bulan</t>
  </si>
  <si>
    <t>Profit margin</t>
  </si>
  <si>
    <t>Penjualan tunai (%)</t>
  </si>
  <si>
    <t>Penerimaan piutang(%)</t>
  </si>
  <si>
    <t>bulan =</t>
  </si>
  <si>
    <t>KAS BERSIH (C-F)</t>
  </si>
  <si>
    <t>Perhitungan pembeli utama</t>
  </si>
  <si>
    <t>PERMINTAAN (PEMBELI)</t>
  </si>
  <si>
    <t>a</t>
  </si>
  <si>
    <t>Jumlah penduduk</t>
  </si>
  <si>
    <t>Usia</t>
  </si>
  <si>
    <t>Pendapatan</t>
  </si>
  <si>
    <t>Potensi pembeli</t>
  </si>
  <si>
    <t>PENAWARAN (PESAING)</t>
  </si>
  <si>
    <t>Identifikasi kapasitas</t>
  </si>
  <si>
    <t>Ciri khas</t>
  </si>
  <si>
    <t>Penjualan/bl</t>
  </si>
  <si>
    <t>b</t>
  </si>
  <si>
    <t>c</t>
  </si>
  <si>
    <t>d</t>
  </si>
  <si>
    <t>e</t>
  </si>
  <si>
    <t>Total penjualan pesaing per bulan</t>
  </si>
  <si>
    <t>Perhitungan penjualan pesaing</t>
  </si>
  <si>
    <t>PANGSA PASAR</t>
  </si>
  <si>
    <t>Permintaan</t>
  </si>
  <si>
    <t>Pangsa pasar</t>
  </si>
  <si>
    <t>Dx100%</t>
  </si>
  <si>
    <t>B+D</t>
  </si>
  <si>
    <t>Rencana</t>
  </si>
  <si>
    <t>Peluang</t>
  </si>
  <si>
    <t>Penawaran</t>
  </si>
  <si>
    <t>C=A-B</t>
  </si>
  <si>
    <t>Konsumsi(penjualan)/bln</t>
  </si>
  <si>
    <t>Proyeksi</t>
  </si>
  <si>
    <t>Tingkat pertumbuhan</t>
  </si>
  <si>
    <t>Pertumbuhan penawaran mengikuti pertumbuhan ekonomi sebesar</t>
  </si>
  <si>
    <t>Pertumbuhan permintaan mengikuti pertumbuhan penduduk sebesar</t>
  </si>
  <si>
    <t>Pertumbuhan rencana perusahaan sebesar</t>
  </si>
  <si>
    <t>a.</t>
  </si>
  <si>
    <t>b.</t>
  </si>
  <si>
    <t>c.</t>
  </si>
  <si>
    <t>Total penjualan pesaing per tahun (x12)</t>
  </si>
  <si>
    <t>RENCANA PERUSAHAAN</t>
  </si>
  <si>
    <t>Penjualan/tahun (x12)</t>
  </si>
  <si>
    <t>Rencana penjualan perusahaan/tahun(x12)</t>
  </si>
  <si>
    <t>Rencana penjualan perusahaan/bulan</t>
  </si>
  <si>
    <t>Angsuran pokok kredit modal kerja</t>
  </si>
  <si>
    <t>Angsuran pokok kredit investasi</t>
  </si>
  <si>
    <t>Nama pemilik</t>
  </si>
  <si>
    <t>Jumlah gaji</t>
  </si>
  <si>
    <t>gajiper bulan</t>
  </si>
  <si>
    <t>E   =</t>
  </si>
  <si>
    <t xml:space="preserve">PROMOSI </t>
  </si>
  <si>
    <t>Diskon</t>
  </si>
  <si>
    <t>Langsung konsumen</t>
  </si>
  <si>
    <t>Manajemen</t>
  </si>
  <si>
    <t>Penyusunan renaca usaha</t>
  </si>
  <si>
    <t>Brosur, Iklan, Poster, dll</t>
  </si>
  <si>
    <t>20 % annual sales</t>
  </si>
  <si>
    <t>Administrasi</t>
  </si>
  <si>
    <t>Iuran Kebersihan</t>
  </si>
  <si>
    <t>Sumbangan Keamanan Lingkungan</t>
  </si>
  <si>
    <t>300,000 jiwa</t>
  </si>
  <si>
    <t>500,000 s/d 2,500,000</t>
  </si>
  <si>
    <t>Segmen A,B,C</t>
  </si>
  <si>
    <t xml:space="preserve">BEAYA UMUM </t>
  </si>
  <si>
    <t>Beaya umum  per tahun (x12)</t>
  </si>
  <si>
    <t>Pembelian</t>
  </si>
  <si>
    <t>2 orang</t>
  </si>
  <si>
    <t>Umum, perumahan, klien bisnis</t>
  </si>
  <si>
    <t>Perawat</t>
  </si>
  <si>
    <t>Surat Izin Praktek Bersama</t>
  </si>
  <si>
    <t>Pelayanan Kesehatan Gigi &amp; Umum</t>
  </si>
  <si>
    <t>0-75 tahun.</t>
  </si>
  <si>
    <t>Klinik Setia Rumanda</t>
  </si>
  <si>
    <t>Praktek Dokter Harmon</t>
  </si>
  <si>
    <t>Praktek Dokter Harun</t>
  </si>
  <si>
    <t>15,000 s/d 40,000</t>
  </si>
  <si>
    <t>Dental Unit</t>
  </si>
  <si>
    <t xml:space="preserve">Hammer Kampak </t>
  </si>
  <si>
    <t>Timbangan smic</t>
  </si>
  <si>
    <t>Minor set</t>
  </si>
  <si>
    <t xml:space="preserve">Tabung oxygen + dorongan </t>
  </si>
  <si>
    <t>Spuit  disposable 1 cc, 3 cc, 5 cc</t>
  </si>
  <si>
    <t>Hand scoen 1 dos No. 5,6,7</t>
  </si>
  <si>
    <t xml:space="preserve">Nierbeken </t>
  </si>
  <si>
    <t>THT Set</t>
  </si>
  <si>
    <t>Jarum 123, 14, 20</t>
  </si>
  <si>
    <t>Korentang</t>
  </si>
  <si>
    <t>Cateter nelaton 3 – 15</t>
  </si>
  <si>
    <t>Standar Infus</t>
  </si>
  <si>
    <t>Laken Plastik</t>
  </si>
  <si>
    <t>Mortir  1 buah</t>
  </si>
  <si>
    <t>Washkom + kaki</t>
  </si>
  <si>
    <t>Lemari obat 1 buah</t>
  </si>
  <si>
    <t>Tempat tidur periksa</t>
  </si>
  <si>
    <t>Pispot 1 buah</t>
  </si>
  <si>
    <t>Obat- obatan dan vaksin</t>
  </si>
  <si>
    <t xml:space="preserve">Stetoskop Majestic1 buah </t>
  </si>
  <si>
    <t xml:space="preserve">Tensi Riester Nova Hg </t>
  </si>
  <si>
    <t>Termometer 3 buah ( 2 oral, 1 rektal )</t>
  </si>
  <si>
    <t>Spatel tongue (anak &amp; dewasa)</t>
  </si>
  <si>
    <t>Senter energizer 1 buah</t>
  </si>
  <si>
    <t>Kursi tunggu Pasien ( 5 Kursi Plastik )</t>
  </si>
  <si>
    <t>Meja Pendaftaran + 2 kursi (Kursi Administrasi &amp; Pasien mendaftar)</t>
  </si>
  <si>
    <t>Meja Dokter + 2 kursi</t>
  </si>
  <si>
    <t>Sapu, Kemoceng &amp; Lap pel</t>
  </si>
  <si>
    <t>Beaya umum</t>
  </si>
  <si>
    <t>10 Pasien perhari @ Rp.40,000 (1 bulan = 30 hari)</t>
  </si>
  <si>
    <t xml:space="preserve"> 8  Pasien perhari @ Rp.40,000 (1 bulan = 30 hari)</t>
  </si>
  <si>
    <t>20 Pasien perhari @ Rp.30,000 (1 bulan = 30 hari)</t>
  </si>
  <si>
    <t>Yayasan</t>
  </si>
  <si>
    <t>Harga Murah &amp; Layanan Konsultasi Gratis - Discount Khusus Kader PKS</t>
  </si>
  <si>
    <t>Milik Sendiri</t>
  </si>
  <si>
    <t>Dental Unit, Tensi Meter, Stetoskop</t>
  </si>
  <si>
    <t>Quality &amp; Customer Services</t>
  </si>
  <si>
    <t>Sudah dikenal terlebih dahulu. Ada ruang menginap pasien, Ruko permanen</t>
  </si>
  <si>
    <t>Sudah dikenal terlebih dahulu, berada dilingkungan komplek perumahan</t>
  </si>
  <si>
    <t>Kelapa Dua Wetan Raya 7 Ciracas - Cibubur Jakarta Timur</t>
  </si>
  <si>
    <t>1 buah rumah</t>
  </si>
  <si>
    <t>Formulir pendaftaran % kartu pasien</t>
  </si>
  <si>
    <t xml:space="preserve">TATA LETAK </t>
  </si>
  <si>
    <t>Penyustan</t>
  </si>
  <si>
    <t>R I N G K A S A N</t>
  </si>
  <si>
    <t>Komisaris</t>
  </si>
  <si>
    <t>Manager Klinik</t>
  </si>
  <si>
    <t>Koordinator Dokter Praktek</t>
  </si>
  <si>
    <t>Rumah (Lokasi)</t>
  </si>
  <si>
    <t>20 Pasien perhari (Gigi &amp; Umum) @ Rp.20,000</t>
  </si>
  <si>
    <t xml:space="preserve">Harga satuan </t>
  </si>
  <si>
    <t>Klinik medika uieu</t>
  </si>
  <si>
    <t>Yayasan Kemala</t>
  </si>
  <si>
    <t>Jalan Arjuna Utara Keb. Jeuk</t>
  </si>
  <si>
    <t>Mudjiarto</t>
  </si>
  <si>
    <t xml:space="preserve"> </t>
  </si>
  <si>
    <t>021 - 5673224</t>
  </si>
  <si>
    <t>Kb. Jeruk Jakbar sekitarnya</t>
  </si>
  <si>
    <t>Klinik Medika UIEU</t>
  </si>
  <si>
    <t>Drs. Aliaras Wahid, MM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</si>
</sst>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* #,##0_-;_-* #,##0\-;_-* &quot;-&quot;_-;_-@_-"/>
    <numFmt numFmtId="176" formatCode="_-&quot;ر.س.&quot;\ * #,##0.00_-;_-&quot;ر.س.&quot;\ * #,##0.00\-;_-&quot;ر.س.&quot;\ * &quot;-&quot;??_-;_-@_-"/>
    <numFmt numFmtId="177" formatCode="_-* #,##0.00_-;_-* #,##0.00\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name val="Acanthus Light SSi"/>
      <family val="1"/>
    </font>
    <font>
      <b/>
      <sz val="20"/>
      <color indexed="9"/>
      <name val="Arial Baltic"/>
      <family val="2"/>
    </font>
    <font>
      <sz val="1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36"/>
      <name val="Lithograph"/>
      <family val="0"/>
    </font>
    <font>
      <sz val="9"/>
      <color indexed="8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2" borderId="1" xfId="0" applyNumberFormat="1" applyFill="1" applyBorder="1" applyAlignment="1" applyProtection="1">
      <alignment/>
      <protection locked="0"/>
    </xf>
    <xf numFmtId="38" fontId="0" fillId="2" borderId="0" xfId="0" applyNumberFormat="1" applyFill="1" applyBorder="1" applyAlignment="1" applyProtection="1">
      <alignment/>
      <protection locked="0"/>
    </xf>
    <xf numFmtId="38" fontId="0" fillId="2" borderId="2" xfId="0" applyNumberFormat="1" applyFill="1" applyBorder="1" applyAlignment="1" applyProtection="1">
      <alignment/>
      <protection locked="0"/>
    </xf>
    <xf numFmtId="38" fontId="0" fillId="2" borderId="3" xfId="0" applyNumberFormat="1" applyFill="1" applyBorder="1" applyAlignment="1" applyProtection="1">
      <alignment/>
      <protection locked="0"/>
    </xf>
    <xf numFmtId="38" fontId="0" fillId="2" borderId="4" xfId="0" applyNumberFormat="1" applyFill="1" applyBorder="1" applyAlignment="1" applyProtection="1">
      <alignment/>
      <protection locked="0"/>
    </xf>
    <xf numFmtId="38" fontId="0" fillId="2" borderId="5" xfId="0" applyNumberFormat="1" applyFill="1" applyBorder="1" applyAlignment="1" applyProtection="1">
      <alignment/>
      <protection locked="0"/>
    </xf>
    <xf numFmtId="38" fontId="0" fillId="2" borderId="6" xfId="0" applyNumberFormat="1" applyFill="1" applyBorder="1" applyAlignment="1" applyProtection="1">
      <alignment/>
      <protection locked="0"/>
    </xf>
    <xf numFmtId="38" fontId="0" fillId="2" borderId="7" xfId="0" applyNumberFormat="1" applyFill="1" applyBorder="1" applyAlignment="1" applyProtection="1">
      <alignment/>
      <protection locked="0"/>
    </xf>
    <xf numFmtId="38" fontId="0" fillId="2" borderId="8" xfId="0" applyNumberFormat="1" applyFill="1" applyBorder="1" applyAlignment="1" applyProtection="1">
      <alignment/>
      <protection locked="0"/>
    </xf>
    <xf numFmtId="38" fontId="1" fillId="0" borderId="0" xfId="0" applyNumberFormat="1" applyFont="1" applyAlignment="1">
      <alignment/>
    </xf>
    <xf numFmtId="38" fontId="1" fillId="0" borderId="9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1" fillId="0" borderId="11" xfId="0" applyNumberFormat="1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 quotePrefix="1">
      <alignment/>
      <protection/>
    </xf>
    <xf numFmtId="38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Border="1" applyAlignment="1" applyProtection="1">
      <alignment/>
      <protection locked="0"/>
    </xf>
    <xf numFmtId="38" fontId="0" fillId="0" borderId="17" xfId="0" applyNumberFormat="1" applyFont="1" applyFill="1" applyBorder="1" applyAlignment="1" applyProtection="1" quotePrefix="1">
      <alignment/>
      <protection/>
    </xf>
    <xf numFmtId="38" fontId="0" fillId="0" borderId="9" xfId="0" applyNumberFormat="1" applyFont="1" applyFill="1" applyBorder="1" applyAlignment="1" applyProtection="1" quotePrefix="1">
      <alignment/>
      <protection/>
    </xf>
    <xf numFmtId="38" fontId="0" fillId="0" borderId="12" xfId="0" applyNumberFormat="1" applyFont="1" applyBorder="1" applyAlignment="1" applyProtection="1">
      <alignment/>
      <protection/>
    </xf>
    <xf numFmtId="38" fontId="0" fillId="0" borderId="18" xfId="0" applyNumberFormat="1" applyFont="1" applyBorder="1" applyAlignment="1" applyProtection="1">
      <alignment/>
      <protection locked="0"/>
    </xf>
    <xf numFmtId="38" fontId="0" fillId="0" borderId="11" xfId="0" applyNumberFormat="1" applyFont="1" applyFill="1" applyBorder="1" applyAlignment="1" applyProtection="1">
      <alignment/>
      <protection/>
    </xf>
    <xf numFmtId="38" fontId="0" fillId="0" borderId="11" xfId="0" applyNumberFormat="1" applyFont="1" applyBorder="1" applyAlignment="1" applyProtection="1">
      <alignment/>
      <protection/>
    </xf>
    <xf numFmtId="38" fontId="0" fillId="0" borderId="19" xfId="0" applyNumberFormat="1" applyFont="1" applyBorder="1" applyAlignment="1" applyProtection="1">
      <alignment/>
      <protection locked="0"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1" fillId="0" borderId="20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38" fontId="0" fillId="0" borderId="21" xfId="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38" fontId="0" fillId="0" borderId="18" xfId="0" applyNumberFormat="1" applyFont="1" applyFill="1" applyBorder="1" applyAlignment="1" applyProtection="1">
      <alignment/>
      <protection/>
    </xf>
    <xf numFmtId="9" fontId="0" fillId="2" borderId="14" xfId="21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1" fillId="0" borderId="16" xfId="0" applyNumberFormat="1" applyFont="1" applyFill="1" applyBorder="1" applyAlignment="1" applyProtection="1">
      <alignment/>
      <protection/>
    </xf>
    <xf numFmtId="10" fontId="0" fillId="0" borderId="11" xfId="21" applyNumberFormat="1" applyFont="1" applyFill="1" applyBorder="1" applyAlignment="1" applyProtection="1">
      <alignment/>
      <protection/>
    </xf>
    <xf numFmtId="38" fontId="0" fillId="2" borderId="14" xfId="0" applyNumberFormat="1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>
      <alignment/>
      <protection/>
    </xf>
    <xf numFmtId="38" fontId="1" fillId="2" borderId="11" xfId="0" applyNumberFormat="1" applyFont="1" applyFill="1" applyBorder="1" applyAlignment="1" applyProtection="1">
      <alignment/>
      <protection/>
    </xf>
    <xf numFmtId="38" fontId="0" fillId="2" borderId="19" xfId="0" applyNumberFormat="1" applyFont="1" applyFill="1" applyBorder="1" applyAlignment="1" applyProtection="1">
      <alignment/>
      <protection locked="0"/>
    </xf>
    <xf numFmtId="38" fontId="0" fillId="0" borderId="1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2" xfId="0" applyNumberFormat="1" applyFill="1" applyBorder="1" applyAlignment="1" applyProtection="1">
      <alignment/>
      <protection/>
    </xf>
    <xf numFmtId="38" fontId="0" fillId="0" borderId="3" xfId="0" applyNumberFormat="1" applyFill="1" applyBorder="1" applyAlignment="1" applyProtection="1">
      <alignment/>
      <protection/>
    </xf>
    <xf numFmtId="38" fontId="0" fillId="0" borderId="4" xfId="0" applyNumberFormat="1" applyFill="1" applyBorder="1" applyAlignment="1" applyProtection="1">
      <alignment/>
      <protection/>
    </xf>
    <xf numFmtId="38" fontId="0" fillId="0" borderId="5" xfId="0" applyNumberFormat="1" applyFill="1" applyBorder="1" applyAlignment="1" applyProtection="1">
      <alignment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9" fontId="0" fillId="2" borderId="14" xfId="21" applyFont="1" applyFill="1" applyBorder="1" applyAlignment="1" applyProtection="1">
      <alignment/>
      <protection locked="0"/>
    </xf>
    <xf numFmtId="38" fontId="3" fillId="2" borderId="0" xfId="0" applyNumberFormat="1" applyFont="1" applyFill="1" applyBorder="1" applyAlignment="1" applyProtection="1">
      <alignment/>
      <protection locked="0"/>
    </xf>
    <xf numFmtId="38" fontId="3" fillId="2" borderId="12" xfId="0" applyNumberFormat="1" applyFont="1" applyFill="1" applyBorder="1" applyAlignment="1" applyProtection="1">
      <alignment/>
      <protection locked="0"/>
    </xf>
    <xf numFmtId="38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9" fillId="2" borderId="0" xfId="0" applyNumberFormat="1" applyFont="1" applyFill="1" applyBorder="1" applyAlignment="1" applyProtection="1">
      <alignment/>
      <protection locked="0"/>
    </xf>
    <xf numFmtId="38" fontId="2" fillId="3" borderId="14" xfId="0" applyNumberFormat="1" applyFont="1" applyFill="1" applyBorder="1" applyAlignment="1">
      <alignment horizontal="center"/>
    </xf>
    <xf numFmtId="38" fontId="2" fillId="3" borderId="11" xfId="0" applyNumberFormat="1" applyFont="1" applyFill="1" applyBorder="1" applyAlignment="1">
      <alignment horizontal="center"/>
    </xf>
    <xf numFmtId="38" fontId="2" fillId="3" borderId="19" xfId="0" applyNumberFormat="1" applyFont="1" applyFill="1" applyBorder="1" applyAlignment="1">
      <alignment horizontal="center"/>
    </xf>
    <xf numFmtId="38" fontId="2" fillId="0" borderId="20" xfId="0" applyNumberFormat="1" applyFont="1" applyBorder="1" applyAlignment="1">
      <alignment/>
    </xf>
    <xf numFmtId="38" fontId="2" fillId="3" borderId="13" xfId="0" applyNumberFormat="1" applyFont="1" applyFill="1" applyBorder="1" applyAlignment="1">
      <alignment/>
    </xf>
    <xf numFmtId="38" fontId="2" fillId="3" borderId="0" xfId="0" applyNumberFormat="1" applyFont="1" applyFill="1" applyBorder="1" applyAlignment="1">
      <alignment/>
    </xf>
    <xf numFmtId="38" fontId="2" fillId="3" borderId="22" xfId="0" applyNumberFormat="1" applyFont="1" applyFill="1" applyBorder="1" applyAlignment="1">
      <alignment/>
    </xf>
    <xf numFmtId="38" fontId="2" fillId="0" borderId="19" xfId="0" applyNumberFormat="1" applyFont="1" applyBorder="1" applyAlignment="1">
      <alignment/>
    </xf>
    <xf numFmtId="38" fontId="2" fillId="0" borderId="22" xfId="0" applyNumberFormat="1" applyFont="1" applyBorder="1" applyAlignment="1">
      <alignment/>
    </xf>
    <xf numFmtId="38" fontId="2" fillId="3" borderId="20" xfId="0" applyNumberFormat="1" applyFont="1" applyFill="1" applyBorder="1" applyAlignment="1">
      <alignment horizontal="center"/>
    </xf>
    <xf numFmtId="38" fontId="0" fillId="0" borderId="0" xfId="0" applyNumberFormat="1" applyFont="1" applyAlignment="1">
      <alignment/>
    </xf>
    <xf numFmtId="9" fontId="0" fillId="0" borderId="14" xfId="21" applyFont="1" applyFill="1" applyBorder="1" applyAlignment="1" applyProtection="1">
      <alignment/>
      <protection/>
    </xf>
    <xf numFmtId="9" fontId="0" fillId="0" borderId="14" xfId="21" applyFont="1" applyFill="1" applyBorder="1" applyAlignment="1" applyProtection="1">
      <alignment/>
      <protection locked="0"/>
    </xf>
    <xf numFmtId="38" fontId="0" fillId="2" borderId="14" xfId="0" applyNumberFormat="1" applyFont="1" applyFill="1" applyBorder="1" applyAlignment="1" applyProtection="1">
      <alignment/>
      <protection locked="0"/>
    </xf>
    <xf numFmtId="38" fontId="2" fillId="0" borderId="12" xfId="0" applyNumberFormat="1" applyFont="1" applyBorder="1" applyAlignment="1">
      <alignment/>
    </xf>
    <xf numFmtId="9" fontId="0" fillId="0" borderId="14" xfId="21" applyFont="1" applyBorder="1" applyAlignment="1">
      <alignment/>
    </xf>
    <xf numFmtId="9" fontId="0" fillId="0" borderId="20" xfId="21" applyFont="1" applyBorder="1" applyAlignment="1">
      <alignment/>
    </xf>
    <xf numFmtId="9" fontId="0" fillId="0" borderId="0" xfId="21" applyFont="1" applyBorder="1" applyAlignment="1">
      <alignment/>
    </xf>
    <xf numFmtId="38" fontId="0" fillId="0" borderId="14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0" borderId="19" xfId="0" applyNumberFormat="1" applyFont="1" applyBorder="1" applyAlignment="1">
      <alignment horizontal="center"/>
    </xf>
    <xf numFmtId="38" fontId="0" fillId="3" borderId="13" xfId="0" applyNumberFormat="1" applyFont="1" applyFill="1" applyBorder="1" applyAlignment="1">
      <alignment horizontal="center"/>
    </xf>
    <xf numFmtId="38" fontId="0" fillId="3" borderId="0" xfId="0" applyNumberFormat="1" applyFont="1" applyFill="1" applyBorder="1" applyAlignment="1">
      <alignment horizontal="center"/>
    </xf>
    <xf numFmtId="38" fontId="0" fillId="3" borderId="22" xfId="0" applyNumberFormat="1" applyFont="1" applyFill="1" applyBorder="1" applyAlignment="1">
      <alignment horizontal="center"/>
    </xf>
    <xf numFmtId="38" fontId="0" fillId="3" borderId="20" xfId="0" applyNumberFormat="1" applyFont="1" applyFill="1" applyBorder="1" applyAlignment="1">
      <alignment/>
    </xf>
    <xf numFmtId="38" fontId="0" fillId="3" borderId="12" xfId="0" applyNumberFormat="1" applyFont="1" applyFill="1" applyBorder="1" applyAlignment="1">
      <alignment/>
    </xf>
    <xf numFmtId="38" fontId="0" fillId="3" borderId="18" xfId="0" applyNumberFormat="1" applyFont="1" applyFill="1" applyBorder="1" applyAlignment="1">
      <alignment/>
    </xf>
    <xf numFmtId="38" fontId="0" fillId="3" borderId="13" xfId="0" applyNumberFormat="1" applyFont="1" applyFill="1" applyBorder="1" applyAlignment="1">
      <alignment/>
    </xf>
    <xf numFmtId="38" fontId="0" fillId="3" borderId="0" xfId="0" applyNumberFormat="1" applyFont="1" applyFill="1" applyBorder="1" applyAlignment="1">
      <alignment/>
    </xf>
    <xf numFmtId="38" fontId="0" fillId="3" borderId="22" xfId="0" applyNumberFormat="1" applyFont="1" applyFill="1" applyBorder="1" applyAlignment="1">
      <alignment/>
    </xf>
    <xf numFmtId="38" fontId="0" fillId="3" borderId="20" xfId="0" applyNumberFormat="1" applyFont="1" applyFill="1" applyBorder="1" applyAlignment="1">
      <alignment/>
    </xf>
    <xf numFmtId="38" fontId="0" fillId="3" borderId="12" xfId="0" applyNumberFormat="1" applyFont="1" applyFill="1" applyBorder="1" applyAlignment="1">
      <alignment/>
    </xf>
    <xf numFmtId="38" fontId="0" fillId="3" borderId="18" xfId="0" applyNumberFormat="1" applyFont="1" applyFill="1" applyBorder="1" applyAlignment="1">
      <alignment/>
    </xf>
    <xf numFmtId="38" fontId="0" fillId="0" borderId="14" xfId="0" applyNumberFormat="1" applyFont="1" applyBorder="1" applyAlignment="1">
      <alignment/>
    </xf>
    <xf numFmtId="38" fontId="0" fillId="3" borderId="1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8" fontId="2" fillId="0" borderId="25" xfId="0" applyNumberFormat="1" applyFont="1" applyBorder="1" applyAlignment="1">
      <alignment/>
    </xf>
    <xf numFmtId="38" fontId="2" fillId="3" borderId="20" xfId="0" applyNumberFormat="1" applyFont="1" applyFill="1" applyBorder="1" applyAlignment="1">
      <alignment/>
    </xf>
    <xf numFmtId="38" fontId="2" fillId="3" borderId="12" xfId="0" applyNumberFormat="1" applyFont="1" applyFill="1" applyBorder="1" applyAlignment="1">
      <alignment/>
    </xf>
    <xf numFmtId="38" fontId="2" fillId="3" borderId="18" xfId="0" applyNumberFormat="1" applyFont="1" applyFill="1" applyBorder="1" applyAlignment="1">
      <alignment/>
    </xf>
    <xf numFmtId="38" fontId="2" fillId="3" borderId="14" xfId="0" applyNumberFormat="1" applyFont="1" applyFill="1" applyBorder="1" applyAlignment="1">
      <alignment/>
    </xf>
    <xf numFmtId="38" fontId="2" fillId="3" borderId="11" xfId="0" applyNumberFormat="1" applyFont="1" applyFill="1" applyBorder="1" applyAlignment="1">
      <alignment/>
    </xf>
    <xf numFmtId="38" fontId="2" fillId="3" borderId="19" xfId="0" applyNumberFormat="1" applyFont="1" applyFill="1" applyBorder="1" applyAlignment="1">
      <alignment/>
    </xf>
    <xf numFmtId="38" fontId="0" fillId="0" borderId="19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2" borderId="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38" fontId="0" fillId="2" borderId="0" xfId="0" applyNumberFormat="1" applyFont="1" applyFill="1" applyBorder="1" applyAlignment="1" applyProtection="1" quotePrefix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10" fillId="0" borderId="0" xfId="2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8" fontId="0" fillId="0" borderId="17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2" borderId="0" xfId="0" applyNumberFormat="1" applyFont="1" applyFill="1" applyBorder="1" applyAlignment="1" applyProtection="1" quotePrefix="1">
      <alignment/>
      <protection locked="0"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9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applyProtection="1">
      <alignment/>
      <protection locked="0"/>
    </xf>
    <xf numFmtId="38" fontId="0" fillId="0" borderId="18" xfId="0" applyNumberFormat="1" applyFont="1" applyBorder="1" applyAlignment="1" applyProtection="1">
      <alignment/>
      <protection locked="0"/>
    </xf>
    <xf numFmtId="38" fontId="0" fillId="0" borderId="0" xfId="0" applyNumberFormat="1" applyFont="1" applyAlignment="1">
      <alignment/>
    </xf>
    <xf numFmtId="38" fontId="0" fillId="0" borderId="16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quotePrefix="1">
      <alignment/>
    </xf>
    <xf numFmtId="38" fontId="0" fillId="0" borderId="18" xfId="0" applyNumberFormat="1" applyFont="1" applyBorder="1" applyAlignment="1">
      <alignment/>
    </xf>
    <xf numFmtId="9" fontId="0" fillId="0" borderId="0" xfId="21" applyFont="1" applyAlignment="1">
      <alignment/>
    </xf>
    <xf numFmtId="38" fontId="0" fillId="2" borderId="1" xfId="0" applyNumberFormat="1" applyFont="1" applyFill="1" applyBorder="1" applyAlignment="1" applyProtection="1">
      <alignment/>
      <protection/>
    </xf>
    <xf numFmtId="38" fontId="0" fillId="0" borderId="15" xfId="0" applyNumberFormat="1" applyFont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0" borderId="21" xfId="0" applyNumberFormat="1" applyFont="1" applyBorder="1" applyAlignment="1">
      <alignment horizontal="center"/>
    </xf>
    <xf numFmtId="38" fontId="0" fillId="0" borderId="24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0" fillId="0" borderId="17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2" borderId="10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 quotePrefix="1">
      <alignment/>
      <protection locked="0"/>
    </xf>
    <xf numFmtId="38" fontId="0" fillId="2" borderId="12" xfId="0" applyNumberFormat="1" applyFont="1" applyFill="1" applyBorder="1" applyAlignment="1" applyProtection="1">
      <alignment/>
      <protection locked="0"/>
    </xf>
    <xf numFmtId="38" fontId="0" fillId="2" borderId="20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>
      <alignment/>
      <protection locked="0"/>
    </xf>
    <xf numFmtId="38" fontId="0" fillId="0" borderId="12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center"/>
    </xf>
    <xf numFmtId="38" fontId="0" fillId="2" borderId="10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 quotePrefix="1">
      <alignment/>
      <protection locked="0"/>
    </xf>
    <xf numFmtId="38" fontId="0" fillId="2" borderId="10" xfId="0" applyNumberFormat="1" applyFont="1" applyFill="1" applyBorder="1" applyAlignment="1" applyProtection="1" quotePrefix="1">
      <alignment horizontal="left"/>
      <protection locked="0"/>
    </xf>
    <xf numFmtId="38" fontId="0" fillId="2" borderId="23" xfId="0" applyNumberFormat="1" applyFont="1" applyFill="1" applyBorder="1" applyAlignment="1" applyProtection="1">
      <alignment/>
      <protection locked="0"/>
    </xf>
    <xf numFmtId="38" fontId="0" fillId="0" borderId="10" xfId="0" applyNumberFormat="1" applyFont="1" applyBorder="1" applyAlignment="1">
      <alignment horizontal="center"/>
    </xf>
    <xf numFmtId="38" fontId="0" fillId="0" borderId="10" xfId="0" applyNumberFormat="1" applyFont="1" applyFill="1" applyBorder="1" applyAlignment="1" applyProtection="1" quotePrefix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2" borderId="24" xfId="0" applyNumberFormat="1" applyFont="1" applyFill="1" applyBorder="1" applyAlignment="1" applyProtection="1">
      <alignment/>
      <protection locked="0"/>
    </xf>
    <xf numFmtId="38" fontId="0" fillId="2" borderId="15" xfId="0" applyNumberFormat="1" applyFont="1" applyFill="1" applyBorder="1" applyAlignment="1" applyProtection="1">
      <alignment/>
      <protection locked="0"/>
    </xf>
    <xf numFmtId="38" fontId="0" fillId="2" borderId="16" xfId="0" applyNumberFormat="1" applyFont="1" applyFill="1" applyBorder="1" applyAlignment="1" applyProtection="1">
      <alignment/>
      <protection locked="0"/>
    </xf>
    <xf numFmtId="38" fontId="0" fillId="2" borderId="21" xfId="0" applyNumberFormat="1" applyFont="1" applyFill="1" applyBorder="1" applyAlignment="1" applyProtection="1">
      <alignment/>
      <protection locked="0"/>
    </xf>
    <xf numFmtId="38" fontId="0" fillId="2" borderId="17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>
      <alignment/>
      <protection locked="0"/>
    </xf>
    <xf numFmtId="38" fontId="0" fillId="2" borderId="18" xfId="0" applyNumberFormat="1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>
      <alignment/>
    </xf>
    <xf numFmtId="38" fontId="0" fillId="0" borderId="9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 horizontal="center"/>
    </xf>
    <xf numFmtId="38" fontId="0" fillId="2" borderId="13" xfId="0" applyNumberFormat="1" applyFont="1" applyFill="1" applyBorder="1" applyAlignment="1" applyProtection="1">
      <alignment/>
      <protection locked="0"/>
    </xf>
    <xf numFmtId="38" fontId="0" fillId="2" borderId="13" xfId="0" applyNumberFormat="1" applyFont="1" applyFill="1" applyBorder="1" applyAlignment="1" applyProtection="1">
      <alignment/>
      <protection locked="0"/>
    </xf>
    <xf numFmtId="38" fontId="0" fillId="2" borderId="13" xfId="0" applyNumberFormat="1" applyFont="1" applyFill="1" applyBorder="1" applyAlignment="1" quotePrefix="1">
      <alignment horizontal="right"/>
    </xf>
    <xf numFmtId="38" fontId="0" fillId="3" borderId="14" xfId="0" applyNumberFormat="1" applyFont="1" applyFill="1" applyBorder="1" applyAlignment="1">
      <alignment horizontal="center"/>
    </xf>
    <xf numFmtId="38" fontId="0" fillId="2" borderId="12" xfId="0" applyNumberFormat="1" applyFont="1" applyFill="1" applyBorder="1" applyAlignment="1">
      <alignment/>
    </xf>
    <xf numFmtId="38" fontId="0" fillId="2" borderId="20" xfId="0" applyNumberFormat="1" applyFont="1" applyFill="1" applyBorder="1" applyAlignment="1" applyProtection="1">
      <alignment/>
      <protection locked="0"/>
    </xf>
    <xf numFmtId="38" fontId="0" fillId="2" borderId="29" xfId="0" applyNumberFormat="1" applyFont="1" applyFill="1" applyBorder="1" applyAlignment="1" applyProtection="1">
      <alignment/>
      <protection locked="0"/>
    </xf>
    <xf numFmtId="38" fontId="0" fillId="2" borderId="30" xfId="0" applyNumberFormat="1" applyFont="1" applyFill="1" applyBorder="1" applyAlignment="1" applyProtection="1">
      <alignment/>
      <protection locked="0"/>
    </xf>
    <xf numFmtId="38" fontId="0" fillId="2" borderId="31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>
      <alignment/>
    </xf>
    <xf numFmtId="38" fontId="0" fillId="2" borderId="19" xfId="0" applyNumberFormat="1" applyFont="1" applyFill="1" applyBorder="1" applyAlignment="1">
      <alignment/>
    </xf>
    <xf numFmtId="38" fontId="0" fillId="2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2" borderId="14" xfId="0" applyNumberFormat="1" applyFont="1" applyFill="1" applyBorder="1" applyAlignment="1">
      <alignment/>
    </xf>
    <xf numFmtId="38" fontId="0" fillId="2" borderId="11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8" fontId="0" fillId="0" borderId="0" xfId="0" applyNumberFormat="1" applyFont="1" applyAlignment="1" applyProtection="1">
      <alignment/>
      <protection/>
    </xf>
    <xf numFmtId="38" fontId="0" fillId="2" borderId="19" xfId="0" applyNumberFormat="1" applyFont="1" applyFill="1" applyBorder="1" applyAlignment="1" applyProtection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Border="1" applyAlignment="1">
      <alignment horizontal="center"/>
    </xf>
    <xf numFmtId="38" fontId="0" fillId="0" borderId="22" xfId="0" applyNumberFormat="1" applyFont="1" applyBorder="1" applyAlignment="1">
      <alignment horizontal="center"/>
    </xf>
    <xf numFmtId="38" fontId="0" fillId="0" borderId="18" xfId="0" applyNumberFormat="1" applyFont="1" applyBorder="1" applyAlignment="1">
      <alignment horizontal="center"/>
    </xf>
    <xf numFmtId="38" fontId="0" fillId="3" borderId="14" xfId="0" applyNumberFormat="1" applyFont="1" applyFill="1" applyBorder="1" applyAlignment="1">
      <alignment horizontal="center"/>
    </xf>
    <xf numFmtId="38" fontId="0" fillId="3" borderId="11" xfId="0" applyNumberFormat="1" applyFont="1" applyFill="1" applyBorder="1" applyAlignment="1" quotePrefix="1">
      <alignment horizontal="center"/>
    </xf>
    <xf numFmtId="38" fontId="0" fillId="3" borderId="14" xfId="0" applyNumberFormat="1" applyFont="1" applyFill="1" applyBorder="1" applyAlignment="1" quotePrefix="1">
      <alignment horizontal="center"/>
    </xf>
    <xf numFmtId="38" fontId="0" fillId="3" borderId="19" xfId="0" applyNumberFormat="1" applyFont="1" applyFill="1" applyBorder="1" applyAlignment="1" quotePrefix="1">
      <alignment horizontal="center"/>
    </xf>
    <xf numFmtId="38" fontId="0" fillId="3" borderId="10" xfId="0" applyNumberFormat="1" applyFont="1" applyFill="1" applyBorder="1" applyAlignment="1">
      <alignment/>
    </xf>
    <xf numFmtId="38" fontId="0" fillId="3" borderId="11" xfId="0" applyNumberFormat="1" applyFont="1" applyFill="1" applyBorder="1" applyAlignment="1">
      <alignment/>
    </xf>
    <xf numFmtId="38" fontId="0" fillId="3" borderId="14" xfId="0" applyNumberFormat="1" applyFont="1" applyFill="1" applyBorder="1" applyAlignment="1">
      <alignment/>
    </xf>
    <xf numFmtId="38" fontId="0" fillId="2" borderId="12" xfId="0" applyNumberFormat="1" applyFont="1" applyFill="1" applyBorder="1" applyAlignment="1" applyProtection="1">
      <alignment/>
      <protection locked="0"/>
    </xf>
    <xf numFmtId="38" fontId="0" fillId="3" borderId="19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0" borderId="32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38" fontId="0" fillId="2" borderId="9" xfId="0" applyNumberFormat="1" applyFont="1" applyFill="1" applyBorder="1" applyAlignment="1">
      <alignment/>
    </xf>
    <xf numFmtId="38" fontId="0" fillId="2" borderId="18" xfId="0" applyNumberFormat="1" applyFont="1" applyFill="1" applyBorder="1" applyAlignment="1">
      <alignment/>
    </xf>
    <xf numFmtId="38" fontId="0" fillId="2" borderId="14" xfId="0" applyNumberFormat="1" applyFont="1" applyFill="1" applyBorder="1" applyAlignment="1">
      <alignment horizontal="center"/>
    </xf>
    <xf numFmtId="38" fontId="0" fillId="0" borderId="23" xfId="0" applyNumberFormat="1" applyFont="1" applyBorder="1" applyAlignment="1">
      <alignment/>
    </xf>
    <xf numFmtId="38" fontId="0" fillId="2" borderId="19" xfId="0" applyNumberFormat="1" applyFont="1" applyFill="1" applyBorder="1" applyAlignment="1">
      <alignment horizontal="center"/>
    </xf>
    <xf numFmtId="38" fontId="0" fillId="2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8" fontId="0" fillId="2" borderId="18" xfId="0" applyNumberFormat="1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5" xfId="0" applyNumberFormat="1" applyFont="1" applyBorder="1" applyAlignment="1">
      <alignment/>
    </xf>
    <xf numFmtId="38" fontId="2" fillId="0" borderId="28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/>
    </xf>
    <xf numFmtId="13" fontId="0" fillId="0" borderId="14" xfId="0" applyNumberFormat="1" applyFont="1" applyBorder="1" applyAlignment="1">
      <alignment/>
    </xf>
    <xf numFmtId="38" fontId="0" fillId="0" borderId="1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24" xfId="0" applyNumberFormat="1" applyFont="1" applyBorder="1" applyAlignment="1">
      <alignment/>
    </xf>
    <xf numFmtId="178" fontId="2" fillId="0" borderId="0" xfId="21" applyNumberFormat="1" applyFont="1" applyBorder="1" applyAlignment="1">
      <alignment/>
    </xf>
    <xf numFmtId="9" fontId="2" fillId="0" borderId="14" xfId="21" applyFont="1" applyBorder="1" applyAlignment="1">
      <alignment/>
    </xf>
    <xf numFmtId="3" fontId="2" fillId="0" borderId="14" xfId="21" applyNumberFormat="1" applyFont="1" applyBorder="1" applyAlignment="1">
      <alignment/>
    </xf>
    <xf numFmtId="3" fontId="2" fillId="0" borderId="11" xfId="21" applyNumberFormat="1" applyFont="1" applyBorder="1" applyAlignment="1">
      <alignment/>
    </xf>
    <xf numFmtId="38" fontId="0" fillId="2" borderId="17" xfId="0" applyNumberFormat="1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>
      <alignment/>
    </xf>
    <xf numFmtId="38" fontId="0" fillId="2" borderId="0" xfId="0" applyNumberFormat="1" applyFont="1" applyFill="1" applyAlignment="1" applyProtection="1">
      <alignment/>
      <protection locked="0"/>
    </xf>
    <xf numFmtId="38" fontId="0" fillId="0" borderId="0" xfId="21" applyNumberFormat="1" applyFont="1" applyBorder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Fill="1" applyAlignment="1" applyProtection="1">
      <alignment/>
      <protection/>
    </xf>
    <xf numFmtId="9" fontId="0" fillId="0" borderId="0" xfId="21" applyFont="1" applyFill="1" applyBorder="1" applyAlignment="1" applyProtection="1">
      <alignment/>
      <protection/>
    </xf>
    <xf numFmtId="38" fontId="0" fillId="0" borderId="0" xfId="0" applyNumberFormat="1" applyFont="1" applyFill="1" applyAlignment="1">
      <alignment/>
    </xf>
    <xf numFmtId="38" fontId="0" fillId="3" borderId="13" xfId="0" applyNumberFormat="1" applyFont="1" applyFill="1" applyBorder="1" applyAlignment="1">
      <alignment/>
    </xf>
    <xf numFmtId="38" fontId="0" fillId="3" borderId="0" xfId="0" applyNumberFormat="1" applyFont="1" applyFill="1" applyBorder="1" applyAlignment="1">
      <alignment/>
    </xf>
    <xf numFmtId="38" fontId="0" fillId="3" borderId="22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8" fontId="0" fillId="0" borderId="29" xfId="0" applyNumberFormat="1" applyFont="1" applyBorder="1" applyAlignment="1">
      <alignment/>
    </xf>
    <xf numFmtId="38" fontId="0" fillId="0" borderId="30" xfId="0" applyNumberFormat="1" applyFont="1" applyBorder="1" applyAlignment="1">
      <alignment/>
    </xf>
    <xf numFmtId="41" fontId="0" fillId="2" borderId="20" xfId="16" applyFont="1" applyFill="1" applyBorder="1" applyAlignment="1" applyProtection="1">
      <alignment/>
      <protection locked="0"/>
    </xf>
    <xf numFmtId="41" fontId="0" fillId="2" borderId="14" xfId="16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>
      <alignment horizontal="left"/>
      <protection locked="0"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Border="1" applyAlignment="1" applyProtection="1">
      <alignment horizontal="center"/>
      <protection locked="0"/>
    </xf>
    <xf numFmtId="38" fontId="0" fillId="0" borderId="12" xfId="0" applyNumberFormat="1" applyFont="1" applyFill="1" applyBorder="1" applyAlignment="1" applyProtection="1">
      <alignment horizontal="center"/>
      <protection/>
    </xf>
    <xf numFmtId="184" fontId="0" fillId="0" borderId="0" xfId="16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1" fontId="0" fillId="0" borderId="0" xfId="16" applyNumberFormat="1" applyAlignment="1">
      <alignment horizontal="left"/>
    </xf>
    <xf numFmtId="0" fontId="12" fillId="0" borderId="0" xfId="0" applyFont="1" applyAlignment="1">
      <alignment horizontal="center"/>
    </xf>
    <xf numFmtId="38" fontId="14" fillId="4" borderId="15" xfId="0" applyNumberFormat="1" applyFont="1" applyFill="1" applyBorder="1" applyAlignment="1">
      <alignment/>
    </xf>
    <xf numFmtId="38" fontId="14" fillId="4" borderId="16" xfId="0" applyNumberFormat="1" applyFont="1" applyFill="1" applyBorder="1" applyAlignment="1">
      <alignment/>
    </xf>
    <xf numFmtId="38" fontId="9" fillId="0" borderId="36" xfId="0" applyNumberFormat="1" applyFont="1" applyBorder="1" applyAlignment="1">
      <alignment/>
    </xf>
    <xf numFmtId="38" fontId="15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 locked="0"/>
    </xf>
    <xf numFmtId="38" fontId="1" fillId="0" borderId="0" xfId="0" applyNumberFormat="1" applyFont="1" applyAlignment="1" applyProtection="1">
      <alignment/>
      <protection/>
    </xf>
    <xf numFmtId="38" fontId="1" fillId="0" borderId="17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28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10" xfId="0" applyNumberFormat="1" applyFont="1" applyBorder="1" applyAlignment="1">
      <alignment/>
    </xf>
    <xf numFmtId="38" fontId="1" fillId="0" borderId="36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36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Fill="1" applyBorder="1" applyAlignment="1" applyProtection="1">
      <alignment/>
      <protection/>
    </xf>
    <xf numFmtId="38" fontId="2" fillId="0" borderId="4" xfId="0" applyNumberFormat="1" applyFont="1" applyFill="1" applyBorder="1" applyAlignment="1" applyProtection="1">
      <alignment/>
      <protection locked="0"/>
    </xf>
    <xf numFmtId="38" fontId="0" fillId="2" borderId="24" xfId="0" applyNumberFormat="1" applyFont="1" applyFill="1" applyBorder="1" applyAlignment="1">
      <alignment/>
    </xf>
    <xf numFmtId="38" fontId="0" fillId="0" borderId="23" xfId="0" applyNumberFormat="1" applyFont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1" fillId="0" borderId="38" xfId="0" applyNumberFormat="1" applyFont="1" applyBorder="1" applyAlignment="1">
      <alignment/>
    </xf>
    <xf numFmtId="38" fontId="0" fillId="0" borderId="39" xfId="0" applyNumberFormat="1" applyFont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1" fillId="0" borderId="40" xfId="0" applyNumberFormat="1" applyFont="1" applyBorder="1" applyAlignment="1">
      <alignment/>
    </xf>
    <xf numFmtId="38" fontId="0" fillId="2" borderId="41" xfId="0" applyNumberFormat="1" applyFont="1" applyFill="1" applyBorder="1" applyAlignment="1">
      <alignment/>
    </xf>
    <xf numFmtId="38" fontId="0" fillId="0" borderId="41" xfId="0" applyNumberFormat="1" applyFont="1" applyBorder="1" applyAlignment="1">
      <alignment/>
    </xf>
    <xf numFmtId="38" fontId="0" fillId="0" borderId="42" xfId="0" applyNumberFormat="1" applyFont="1" applyBorder="1" applyAlignment="1">
      <alignment/>
    </xf>
    <xf numFmtId="38" fontId="0" fillId="2" borderId="0" xfId="0" applyNumberFormat="1" applyFont="1" applyFill="1" applyAlignment="1">
      <alignment/>
    </xf>
    <xf numFmtId="38" fontId="0" fillId="2" borderId="0" xfId="0" applyNumberFormat="1" applyFont="1" applyFill="1" applyBorder="1" applyAlignment="1" applyProtection="1">
      <alignment/>
      <protection/>
    </xf>
    <xf numFmtId="38" fontId="0" fillId="0" borderId="6" xfId="0" applyNumberFormat="1" applyFont="1" applyFill="1" applyBorder="1" applyAlignment="1" applyProtection="1">
      <alignment/>
      <protection/>
    </xf>
    <xf numFmtId="38" fontId="0" fillId="0" borderId="7" xfId="0" applyNumberFormat="1" applyFont="1" applyFill="1" applyBorder="1" applyAlignment="1" applyProtection="1">
      <alignment/>
      <protection locked="0"/>
    </xf>
    <xf numFmtId="38" fontId="0" fillId="0" borderId="8" xfId="0" applyNumberFormat="1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38" fontId="0" fillId="0" borderId="2" xfId="0" applyNumberFormat="1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 locked="0"/>
    </xf>
    <xf numFmtId="38" fontId="0" fillId="0" borderId="3" xfId="0" applyNumberFormat="1" applyFont="1" applyFill="1" applyBorder="1" applyAlignment="1" applyProtection="1">
      <alignment/>
      <protection locked="0"/>
    </xf>
    <xf numFmtId="38" fontId="0" fillId="0" borderId="4" xfId="0" applyNumberFormat="1" applyFont="1" applyFill="1" applyBorder="1" applyAlignment="1" applyProtection="1">
      <alignment/>
      <protection locked="0"/>
    </xf>
    <xf numFmtId="38" fontId="0" fillId="0" borderId="5" xfId="0" applyNumberFormat="1" applyFont="1" applyFill="1" applyBorder="1" applyAlignment="1" applyProtection="1">
      <alignment/>
      <protection locked="0"/>
    </xf>
    <xf numFmtId="38" fontId="0" fillId="0" borderId="14" xfId="0" applyNumberFormat="1" applyFont="1" applyFill="1" applyBorder="1" applyAlignment="1" applyProtection="1">
      <alignment/>
      <protection locked="0"/>
    </xf>
    <xf numFmtId="38" fontId="0" fillId="2" borderId="23" xfId="0" applyNumberFormat="1" applyFont="1" applyFill="1" applyBorder="1" applyAlignment="1" applyProtection="1">
      <alignment/>
      <protection/>
    </xf>
    <xf numFmtId="41" fontId="0" fillId="2" borderId="14" xfId="16" applyFont="1" applyFill="1" applyBorder="1" applyAlignment="1">
      <alignment/>
    </xf>
    <xf numFmtId="38" fontId="0" fillId="0" borderId="17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10" xfId="0" applyFont="1" applyFill="1" applyBorder="1" applyAlignment="1">
      <alignment horizontal="left"/>
    </xf>
    <xf numFmtId="38" fontId="0" fillId="2" borderId="10" xfId="0" applyNumberFormat="1" applyFont="1" applyFill="1" applyBorder="1" applyAlignment="1" applyProtection="1">
      <alignment horizontal="center"/>
      <protection locked="0"/>
    </xf>
    <xf numFmtId="38" fontId="0" fillId="2" borderId="14" xfId="0" applyNumberFormat="1" applyFont="1" applyFill="1" applyBorder="1" applyAlignment="1" applyProtection="1">
      <alignment horizontal="center"/>
      <protection locked="0"/>
    </xf>
    <xf numFmtId="38" fontId="0" fillId="2" borderId="11" xfId="0" applyNumberFormat="1" applyFont="1" applyFill="1" applyBorder="1" applyAlignment="1" applyProtection="1">
      <alignment horizontal="center"/>
      <protection locked="0"/>
    </xf>
    <xf numFmtId="38" fontId="0" fillId="2" borderId="23" xfId="0" applyNumberFormat="1" applyFont="1" applyFill="1" applyBorder="1" applyAlignment="1" applyProtection="1">
      <alignment horizontal="center"/>
      <protection locked="0"/>
    </xf>
    <xf numFmtId="38" fontId="1" fillId="2" borderId="22" xfId="0" applyNumberFormat="1" applyFont="1" applyFill="1" applyBorder="1" applyAlignment="1">
      <alignment/>
    </xf>
    <xf numFmtId="9" fontId="0" fillId="2" borderId="14" xfId="21" applyFont="1" applyFill="1" applyBorder="1" applyAlignment="1" applyProtection="1">
      <alignment horizontal="center"/>
      <protection locked="0"/>
    </xf>
    <xf numFmtId="178" fontId="0" fillId="0" borderId="14" xfId="21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Alignment="1">
      <alignment horizontal="center"/>
    </xf>
    <xf numFmtId="38" fontId="0" fillId="0" borderId="0" xfId="21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8" fontId="1" fillId="0" borderId="19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11" fillId="0" borderId="1" xfId="0" applyNumberFormat="1" applyFont="1" applyFill="1" applyBorder="1" applyAlignment="1" applyProtection="1">
      <alignment horizontal="center"/>
      <protection/>
    </xf>
    <xf numFmtId="38" fontId="11" fillId="0" borderId="0" xfId="0" applyNumberFormat="1" applyFont="1" applyFill="1" applyBorder="1" applyAlignment="1" applyProtection="1">
      <alignment horizontal="center"/>
      <protection/>
    </xf>
    <xf numFmtId="38" fontId="5" fillId="4" borderId="6" xfId="0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horizontal="center"/>
    </xf>
    <xf numFmtId="38" fontId="5" fillId="4" borderId="8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 quotePrefix="1">
      <alignment horizontal="center"/>
      <protection/>
    </xf>
    <xf numFmtId="38" fontId="0" fillId="0" borderId="19" xfId="0" applyNumberFormat="1" applyFont="1" applyFill="1" applyBorder="1" applyAlignment="1" applyProtection="1" quotePrefix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0" borderId="21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38" fontId="0" fillId="0" borderId="19" xfId="0" applyNumberFormat="1" applyFont="1" applyBorder="1" applyAlignment="1">
      <alignment horizontal="center"/>
    </xf>
    <xf numFmtId="38" fontId="13" fillId="4" borderId="1" xfId="0" applyNumberFormat="1" applyFont="1" applyFill="1" applyBorder="1" applyAlignment="1">
      <alignment horizontal="center"/>
    </xf>
    <xf numFmtId="38" fontId="13" fillId="4" borderId="0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 applyProtection="1">
      <alignment horizontal="center"/>
      <protection/>
    </xf>
    <xf numFmtId="38" fontId="6" fillId="0" borderId="1" xfId="0" applyNumberFormat="1" applyFont="1" applyFill="1" applyBorder="1" applyAlignment="1" applyProtection="1">
      <alignment horizont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38" fontId="6" fillId="0" borderId="2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Year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Sheet2!$C$1:$E$1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Sales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Sheet2!$C$2:$E$2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5967741"/>
        <c:axId val="56838758"/>
      </c:bar3D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77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155</xdr:row>
      <xdr:rowOff>57150</xdr:rowOff>
    </xdr:from>
    <xdr:to>
      <xdr:col>7</xdr:col>
      <xdr:colOff>885825</xdr:colOff>
      <xdr:row>174</xdr:row>
      <xdr:rowOff>19050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498550"/>
          <a:ext cx="55721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431</xdr:row>
      <xdr:rowOff>0</xdr:rowOff>
    </xdr:from>
    <xdr:to>
      <xdr:col>8</xdr:col>
      <xdr:colOff>476250</xdr:colOff>
      <xdr:row>452</xdr:row>
      <xdr:rowOff>85725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1923275"/>
          <a:ext cx="44862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23</xdr:row>
      <xdr:rowOff>104775</xdr:rowOff>
    </xdr:from>
    <xdr:to>
      <xdr:col>4</xdr:col>
      <xdr:colOff>28575</xdr:colOff>
      <xdr:row>30</xdr:row>
      <xdr:rowOff>123825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77202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34</xdr:row>
      <xdr:rowOff>0</xdr:rowOff>
    </xdr:from>
    <xdr:to>
      <xdr:col>8</xdr:col>
      <xdr:colOff>1123950</xdr:colOff>
      <xdr:row>41</xdr:row>
      <xdr:rowOff>104775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6448425"/>
          <a:ext cx="981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28</xdr:row>
      <xdr:rowOff>0</xdr:rowOff>
    </xdr:from>
    <xdr:to>
      <xdr:col>8</xdr:col>
      <xdr:colOff>923925</xdr:colOff>
      <xdr:row>35</xdr:row>
      <xdr:rowOff>152400</xdr:rowOff>
    </xdr:to>
    <xdr:sp>
      <xdr:nvSpPr>
        <xdr:cNvPr id="5" name="AutoShape 77"/>
        <xdr:cNvSpPr>
          <a:spLocks/>
        </xdr:cNvSpPr>
      </xdr:nvSpPr>
      <xdr:spPr>
        <a:xfrm rot="20839308">
          <a:off x="809625" y="5476875"/>
          <a:ext cx="623887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Motivasi &amp; Prestasi dalam Wirausaha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142875</xdr:rowOff>
    </xdr:from>
    <xdr:to>
      <xdr:col>6</xdr:col>
      <xdr:colOff>476250</xdr:colOff>
      <xdr:row>17</xdr:row>
      <xdr:rowOff>95250</xdr:rowOff>
    </xdr:to>
    <xdr:graphicFrame>
      <xdr:nvGraphicFramePr>
        <xdr:cNvPr id="1" name="Chart 7"/>
        <xdr:cNvGraphicFramePr/>
      </xdr:nvGraphicFramePr>
      <xdr:xfrm>
        <a:off x="1781175" y="952500"/>
        <a:ext cx="35718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o_dinsi@yahoo" TargetMode="External" /><Relationship Id="rId2" Type="http://schemas.openxmlformats.org/officeDocument/2006/relationships/hyperlink" Target="http://www.we%20-%20entrepreneur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22"/>
  <sheetViews>
    <sheetView tabSelected="1" zoomScale="120" zoomScaleNormal="120" zoomScaleSheetLayoutView="100" workbookViewId="0" topLeftCell="A1">
      <selection activeCell="A1" sqref="A1:K647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3.7109375" style="0" customWidth="1"/>
    <col min="4" max="4" width="17.28125" style="0" customWidth="1"/>
    <col min="5" max="5" width="16.28125" style="0" customWidth="1"/>
    <col min="6" max="6" width="15.7109375" style="0" customWidth="1"/>
    <col min="7" max="7" width="15.421875" style="0" customWidth="1"/>
    <col min="8" max="8" width="16.7109375" style="0" customWidth="1"/>
    <col min="9" max="9" width="18.421875" style="0" customWidth="1"/>
    <col min="10" max="10" width="15.421875" style="0" customWidth="1"/>
    <col min="11" max="11" width="14.28125" style="0" customWidth="1"/>
    <col min="13" max="13" width="13.421875" style="0" bestFit="1" customWidth="1"/>
    <col min="14" max="14" width="10.7109375" style="0" bestFit="1" customWidth="1"/>
  </cols>
  <sheetData>
    <row r="1" spans="1:11" ht="26.25">
      <c r="A1" s="2"/>
      <c r="B1" s="2"/>
      <c r="C1" s="2"/>
      <c r="D1" s="361" t="s">
        <v>272</v>
      </c>
      <c r="E1" s="362"/>
      <c r="F1" s="362"/>
      <c r="G1" s="362"/>
      <c r="H1" s="362"/>
      <c r="I1" s="363"/>
      <c r="J1" s="2"/>
      <c r="K1" s="2"/>
    </row>
    <row r="2" spans="1:11" ht="12.75">
      <c r="A2" s="2"/>
      <c r="B2" s="2"/>
      <c r="C2" s="2"/>
      <c r="D2" s="3"/>
      <c r="E2" s="4"/>
      <c r="F2" s="4"/>
      <c r="G2" s="4"/>
      <c r="H2" s="4"/>
      <c r="I2" s="5"/>
      <c r="J2" s="2"/>
      <c r="K2" s="2"/>
    </row>
    <row r="3" spans="1:11" ht="12.75">
      <c r="A3" s="2"/>
      <c r="B3" s="2"/>
      <c r="C3" s="2"/>
      <c r="D3" s="3" t="s">
        <v>273</v>
      </c>
      <c r="E3" s="4"/>
      <c r="F3" s="4"/>
      <c r="G3" s="4"/>
      <c r="H3" s="4"/>
      <c r="I3" s="5"/>
      <c r="J3" s="2"/>
      <c r="K3" s="2"/>
    </row>
    <row r="4" spans="1:11" ht="44.25">
      <c r="A4" s="2"/>
      <c r="B4" s="2"/>
      <c r="C4" s="2"/>
      <c r="D4" s="359" t="s">
        <v>447</v>
      </c>
      <c r="E4" s="360"/>
      <c r="F4" s="360"/>
      <c r="G4" s="360"/>
      <c r="H4" s="360"/>
      <c r="I4" s="377"/>
      <c r="J4" s="2"/>
      <c r="K4" s="2"/>
    </row>
    <row r="5" spans="1:11" ht="12.75">
      <c r="A5" s="2"/>
      <c r="B5" s="2"/>
      <c r="C5" s="2"/>
      <c r="D5" s="62"/>
      <c r="E5" s="63"/>
      <c r="F5" s="63"/>
      <c r="G5" s="63"/>
      <c r="H5" s="63"/>
      <c r="I5" s="64"/>
      <c r="J5" s="2"/>
      <c r="K5" s="2"/>
    </row>
    <row r="6" spans="1:11" ht="12.75">
      <c r="A6" s="2"/>
      <c r="B6" s="2"/>
      <c r="C6" s="2"/>
      <c r="D6" s="62"/>
      <c r="E6" s="63"/>
      <c r="F6" s="63"/>
      <c r="G6" s="63"/>
      <c r="H6" s="63"/>
      <c r="I6" s="64"/>
      <c r="J6" s="2"/>
      <c r="K6" s="2"/>
    </row>
    <row r="7" spans="1:11" ht="12.75">
      <c r="A7" s="2"/>
      <c r="B7" s="2"/>
      <c r="C7" s="2"/>
      <c r="D7" s="62" t="s">
        <v>31</v>
      </c>
      <c r="E7" s="63"/>
      <c r="F7" s="63"/>
      <c r="G7" s="63"/>
      <c r="H7" s="63"/>
      <c r="I7" s="64"/>
      <c r="J7" s="2"/>
      <c r="K7" s="2"/>
    </row>
    <row r="8" spans="1:11" ht="23.25">
      <c r="A8" s="2"/>
      <c r="B8" s="2"/>
      <c r="C8" s="2"/>
      <c r="D8" s="378" t="s">
        <v>448</v>
      </c>
      <c r="E8" s="379"/>
      <c r="F8" s="379"/>
      <c r="G8" s="379"/>
      <c r="H8" s="379"/>
      <c r="I8" s="380"/>
      <c r="J8" s="2"/>
      <c r="K8" s="2"/>
    </row>
    <row r="9" spans="1:11" ht="12.75">
      <c r="A9" s="2"/>
      <c r="B9" s="2"/>
      <c r="C9" s="2"/>
      <c r="D9" s="62"/>
      <c r="E9" s="63"/>
      <c r="F9" s="63"/>
      <c r="G9" s="63"/>
      <c r="H9" s="63"/>
      <c r="I9" s="64"/>
      <c r="J9" s="2"/>
      <c r="K9" s="2"/>
    </row>
    <row r="10" spans="1:11" ht="12.75">
      <c r="A10" s="2"/>
      <c r="B10" s="2"/>
      <c r="C10" s="2"/>
      <c r="D10" s="62" t="s">
        <v>277</v>
      </c>
      <c r="E10" s="63"/>
      <c r="F10" s="63"/>
      <c r="G10" s="63"/>
      <c r="H10" s="63"/>
      <c r="I10" s="64"/>
      <c r="J10" s="2"/>
      <c r="K10" s="2"/>
    </row>
    <row r="11" spans="1:11" ht="12.75">
      <c r="A11" s="2"/>
      <c r="B11" s="2"/>
      <c r="C11" s="2"/>
      <c r="D11" s="62" t="s">
        <v>274</v>
      </c>
      <c r="E11" s="63"/>
      <c r="F11" s="63"/>
      <c r="G11" s="63"/>
      <c r="H11" s="63"/>
      <c r="I11" s="64"/>
      <c r="J11" s="2"/>
      <c r="K11" s="2"/>
    </row>
    <row r="12" spans="1:11" ht="23.25">
      <c r="A12" s="2"/>
      <c r="B12" s="2"/>
      <c r="C12" s="2"/>
      <c r="D12" s="378" t="s">
        <v>449</v>
      </c>
      <c r="E12" s="379"/>
      <c r="F12" s="379"/>
      <c r="G12" s="379"/>
      <c r="H12" s="379"/>
      <c r="I12" s="380"/>
      <c r="J12" s="2"/>
      <c r="K12" s="2"/>
    </row>
    <row r="13" spans="1:11" ht="12.75">
      <c r="A13" s="2"/>
      <c r="B13" s="2"/>
      <c r="C13" s="2"/>
      <c r="D13" s="62"/>
      <c r="E13" s="63"/>
      <c r="F13" s="63"/>
      <c r="G13" s="63"/>
      <c r="H13" s="63"/>
      <c r="I13" s="64"/>
      <c r="J13" s="2"/>
      <c r="K13" s="2"/>
    </row>
    <row r="14" spans="1:11" ht="12.75">
      <c r="A14" s="2"/>
      <c r="B14" s="2"/>
      <c r="C14" s="2"/>
      <c r="D14" s="62"/>
      <c r="E14" s="63"/>
      <c r="F14" s="63"/>
      <c r="G14" s="63"/>
      <c r="H14" s="63"/>
      <c r="I14" s="64"/>
      <c r="J14" s="2"/>
      <c r="K14" s="2"/>
    </row>
    <row r="15" spans="1:11" ht="13.5" thickBot="1">
      <c r="A15" s="2"/>
      <c r="B15" s="2"/>
      <c r="C15" s="2"/>
      <c r="D15" s="65"/>
      <c r="E15" s="66"/>
      <c r="F15" s="66"/>
      <c r="G15" s="66"/>
      <c r="H15" s="66"/>
      <c r="I15" s="67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 thickBot="1">
      <c r="A18" s="2"/>
      <c r="B18" s="2"/>
      <c r="C18" s="2"/>
      <c r="D18" s="2" t="s">
        <v>275</v>
      </c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12"/>
      <c r="E19" s="13"/>
      <c r="F19" s="13"/>
      <c r="G19" s="13"/>
      <c r="H19" s="13"/>
      <c r="I19" s="14"/>
      <c r="J19" s="2"/>
      <c r="K19" s="2"/>
    </row>
    <row r="20" spans="1:11" ht="18">
      <c r="A20" s="2"/>
      <c r="B20" s="2"/>
      <c r="C20" s="2"/>
      <c r="D20" s="6"/>
      <c r="E20" s="79" t="str">
        <f>D8</f>
        <v>Yayasan Kemala</v>
      </c>
      <c r="F20" s="7"/>
      <c r="G20" s="7"/>
      <c r="H20" s="7"/>
      <c r="I20" s="8"/>
      <c r="J20" s="2"/>
      <c r="K20" s="2"/>
    </row>
    <row r="21" spans="1:11" ht="13.5" thickBot="1">
      <c r="A21" s="2"/>
      <c r="B21" s="2"/>
      <c r="C21" s="2"/>
      <c r="D21" s="9"/>
      <c r="E21" s="10"/>
      <c r="F21" s="10"/>
      <c r="G21" s="10"/>
      <c r="H21" s="10"/>
      <c r="I21" s="11"/>
      <c r="J21" s="2"/>
      <c r="K21" s="2"/>
    </row>
    <row r="22" spans="1:11" ht="12.75">
      <c r="A22" s="2"/>
      <c r="B22" s="2"/>
      <c r="C22" s="2"/>
      <c r="D22" s="2" t="s">
        <v>276</v>
      </c>
      <c r="E22" s="2"/>
      <c r="F22" s="2"/>
      <c r="G22" s="2"/>
      <c r="H22" s="2"/>
      <c r="I22" s="2"/>
      <c r="J22" s="2"/>
      <c r="K22" s="2"/>
    </row>
    <row r="23" spans="1:11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12"/>
      <c r="E24" s="13"/>
      <c r="F24" s="13"/>
      <c r="G24" s="13"/>
      <c r="H24" s="13"/>
      <c r="I24" s="14"/>
      <c r="J24" s="2"/>
      <c r="K24" s="2"/>
    </row>
    <row r="25" spans="1:11" ht="12.75">
      <c r="A25" s="2"/>
      <c r="B25" s="2"/>
      <c r="C25" s="2"/>
      <c r="D25" s="6"/>
      <c r="E25" s="7"/>
      <c r="F25" s="7"/>
      <c r="G25" s="7"/>
      <c r="H25" s="7"/>
      <c r="I25" s="8"/>
      <c r="J25" s="2"/>
      <c r="K25" s="2"/>
    </row>
    <row r="26" spans="1:11" ht="12.75">
      <c r="A26" s="2"/>
      <c r="B26" s="2"/>
      <c r="C26" s="2"/>
      <c r="D26" s="6"/>
      <c r="E26" s="7"/>
      <c r="F26" s="7"/>
      <c r="G26" s="7"/>
      <c r="H26" s="7"/>
      <c r="I26" s="8"/>
      <c r="J26" s="2"/>
      <c r="K26" s="2"/>
    </row>
    <row r="27" spans="1:11" ht="12.75">
      <c r="A27" s="2"/>
      <c r="B27" s="2"/>
      <c r="C27" s="2"/>
      <c r="D27" s="6"/>
      <c r="E27" s="7"/>
      <c r="F27" s="7"/>
      <c r="G27" s="7"/>
      <c r="H27" s="7"/>
      <c r="I27" s="8"/>
      <c r="J27" s="2"/>
      <c r="K27" s="2"/>
    </row>
    <row r="28" spans="1:11" ht="12.75">
      <c r="A28" s="2"/>
      <c r="B28" s="2"/>
      <c r="C28" s="2"/>
      <c r="D28" s="6"/>
      <c r="E28" s="7"/>
      <c r="F28" s="7"/>
      <c r="G28" s="7"/>
      <c r="H28" s="7"/>
      <c r="I28" s="8"/>
      <c r="J28" s="2"/>
      <c r="K28" s="2"/>
    </row>
    <row r="29" spans="1:11" ht="12.75">
      <c r="A29" s="2"/>
      <c r="B29" s="2"/>
      <c r="C29" s="2"/>
      <c r="D29" s="6"/>
      <c r="E29" s="7"/>
      <c r="F29" s="7"/>
      <c r="G29" s="7"/>
      <c r="H29" s="7"/>
      <c r="I29" s="8"/>
      <c r="J29" s="2"/>
      <c r="K29" s="2"/>
    </row>
    <row r="30" spans="1:11" ht="12.75">
      <c r="A30" s="2"/>
      <c r="B30" s="2"/>
      <c r="C30" s="2"/>
      <c r="D30" s="6"/>
      <c r="E30" s="7"/>
      <c r="F30" s="7"/>
      <c r="G30" s="7"/>
      <c r="H30" s="7"/>
      <c r="I30" s="8"/>
      <c r="J30" s="2"/>
      <c r="K30" s="2"/>
    </row>
    <row r="31" spans="1:11" ht="12.75">
      <c r="A31" s="2"/>
      <c r="B31" s="2"/>
      <c r="C31" s="2"/>
      <c r="D31" s="6"/>
      <c r="E31" s="7"/>
      <c r="F31" s="7"/>
      <c r="G31" s="7"/>
      <c r="H31" s="7"/>
      <c r="I31" s="8"/>
      <c r="J31" s="2"/>
      <c r="K31" s="2"/>
    </row>
    <row r="32" spans="1:11" ht="12.75">
      <c r="A32" s="2"/>
      <c r="B32" s="2"/>
      <c r="C32" s="2"/>
      <c r="D32" s="6"/>
      <c r="E32" s="7"/>
      <c r="F32" s="7"/>
      <c r="G32" s="7"/>
      <c r="H32" s="7"/>
      <c r="I32" s="8"/>
      <c r="J32" s="2"/>
      <c r="K32" s="2"/>
    </row>
    <row r="33" spans="1:11" ht="12.75">
      <c r="A33" s="2"/>
      <c r="B33" s="2"/>
      <c r="C33" s="2"/>
      <c r="D33" s="6"/>
      <c r="E33" s="7"/>
      <c r="F33" s="7"/>
      <c r="G33" s="7"/>
      <c r="H33" s="7"/>
      <c r="I33" s="8"/>
      <c r="J33" s="2"/>
      <c r="K33" s="2"/>
    </row>
    <row r="34" spans="1:11" ht="12.75">
      <c r="A34" s="2"/>
      <c r="B34" s="2"/>
      <c r="C34" s="2"/>
      <c r="D34" s="6"/>
      <c r="E34" s="7"/>
      <c r="F34" s="7"/>
      <c r="G34" s="7"/>
      <c r="H34" s="7"/>
      <c r="I34" s="8"/>
      <c r="J34" s="2"/>
      <c r="K34" s="2"/>
    </row>
    <row r="35" spans="1:11" ht="12.75">
      <c r="A35" s="2"/>
      <c r="B35" s="2"/>
      <c r="C35" s="2"/>
      <c r="D35" s="6"/>
      <c r="E35" s="7"/>
      <c r="F35" s="7"/>
      <c r="G35" s="7"/>
      <c r="H35" s="7"/>
      <c r="I35" s="8"/>
      <c r="J35" s="2"/>
      <c r="K35" s="2"/>
    </row>
    <row r="36" spans="1:11" ht="12.75">
      <c r="A36" s="2"/>
      <c r="B36" s="2"/>
      <c r="C36" s="2"/>
      <c r="D36" s="6"/>
      <c r="E36" s="7"/>
      <c r="F36" s="7"/>
      <c r="G36" s="7"/>
      <c r="H36" s="7"/>
      <c r="I36" s="8"/>
      <c r="J36" s="2"/>
      <c r="K36" s="2"/>
    </row>
    <row r="37" spans="1:11" ht="12.75">
      <c r="A37" s="2"/>
      <c r="B37" s="2"/>
      <c r="C37" s="2"/>
      <c r="D37" s="6"/>
      <c r="E37" s="7"/>
      <c r="F37" s="7"/>
      <c r="G37" s="7"/>
      <c r="H37" s="7"/>
      <c r="I37" s="8"/>
      <c r="J37" s="2"/>
      <c r="K37" s="2"/>
    </row>
    <row r="38" spans="1:11" ht="12.75">
      <c r="A38" s="2"/>
      <c r="B38" s="2"/>
      <c r="C38" s="2"/>
      <c r="D38" s="6"/>
      <c r="E38" s="7"/>
      <c r="F38" s="7"/>
      <c r="G38" s="7"/>
      <c r="H38" s="7"/>
      <c r="I38" s="8"/>
      <c r="J38" s="2"/>
      <c r="K38" s="2"/>
    </row>
    <row r="39" spans="1:11" ht="12.75">
      <c r="A39" s="2"/>
      <c r="B39" s="2"/>
      <c r="C39" s="2"/>
      <c r="D39" s="6"/>
      <c r="E39" s="7"/>
      <c r="F39" s="7"/>
      <c r="G39" s="7"/>
      <c r="H39" s="7"/>
      <c r="I39" s="8"/>
      <c r="J39" s="2"/>
      <c r="K39" s="2"/>
    </row>
    <row r="40" spans="1:11" ht="12.75">
      <c r="A40" s="2"/>
      <c r="B40" s="2"/>
      <c r="C40" s="2"/>
      <c r="D40" s="6"/>
      <c r="E40" s="7"/>
      <c r="F40" s="7"/>
      <c r="G40" s="7"/>
      <c r="H40" s="7"/>
      <c r="I40" s="8"/>
      <c r="J40" s="2"/>
      <c r="K40" s="2"/>
    </row>
    <row r="41" spans="1:11" ht="12.75">
      <c r="A41" s="2"/>
      <c r="B41" s="2"/>
      <c r="C41" s="2"/>
      <c r="D41" s="6"/>
      <c r="E41" s="7"/>
      <c r="F41" s="7"/>
      <c r="G41" s="7"/>
      <c r="H41" s="7"/>
      <c r="I41" s="8"/>
      <c r="J41" s="2"/>
      <c r="K41" s="2"/>
    </row>
    <row r="42" spans="1:11" ht="13.5" thickBot="1">
      <c r="A42" s="2"/>
      <c r="B42" s="2"/>
      <c r="C42" s="2"/>
      <c r="D42" s="9"/>
      <c r="E42" s="10"/>
      <c r="F42" s="10"/>
      <c r="G42" s="10"/>
      <c r="H42" s="10"/>
      <c r="I42" s="11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31" customFormat="1" ht="23.25">
      <c r="A44" s="375" t="s">
        <v>440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</row>
    <row r="45" spans="1:11" s="131" customFormat="1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131" customFormat="1" ht="12.75">
      <c r="A46" s="292" t="s">
        <v>0</v>
      </c>
      <c r="B46" s="293" t="s">
        <v>1</v>
      </c>
      <c r="C46" s="293"/>
      <c r="D46" s="293"/>
      <c r="E46" s="135"/>
      <c r="F46" s="135"/>
      <c r="G46" s="135"/>
      <c r="H46" s="135"/>
      <c r="I46" s="135"/>
      <c r="J46" s="135"/>
      <c r="K46" s="136"/>
    </row>
    <row r="47" spans="1:11" s="131" customFormat="1" ht="12.75">
      <c r="A47" s="137"/>
      <c r="B47" s="138">
        <v>1</v>
      </c>
      <c r="C47" s="138" t="s">
        <v>2</v>
      </c>
      <c r="D47" s="138"/>
      <c r="E47" s="138"/>
      <c r="F47" s="138"/>
      <c r="G47" s="139" t="str">
        <f>D8</f>
        <v>Yayasan Kemala</v>
      </c>
      <c r="H47" s="139"/>
      <c r="I47" s="139"/>
      <c r="J47" s="139"/>
      <c r="K47" s="140"/>
    </row>
    <row r="48" spans="1:11" s="131" customFormat="1" ht="12.75">
      <c r="A48" s="137"/>
      <c r="B48" s="138">
        <v>2</v>
      </c>
      <c r="C48" s="138" t="s">
        <v>365</v>
      </c>
      <c r="D48" s="138"/>
      <c r="E48" s="138"/>
      <c r="F48" s="138"/>
      <c r="G48" s="328" t="s">
        <v>450</v>
      </c>
      <c r="H48" s="139"/>
      <c r="I48" s="139"/>
      <c r="J48" s="139"/>
      <c r="K48" s="140"/>
    </row>
    <row r="49" spans="1:11" s="131" customFormat="1" ht="12.75">
      <c r="A49" s="137"/>
      <c r="B49" s="138">
        <v>3</v>
      </c>
      <c r="C49" s="138" t="s">
        <v>3</v>
      </c>
      <c r="D49" s="138"/>
      <c r="E49" s="138"/>
      <c r="F49" s="138"/>
      <c r="G49" s="328" t="s">
        <v>454</v>
      </c>
      <c r="H49" s="139"/>
      <c r="I49" s="139"/>
      <c r="J49" s="139"/>
      <c r="K49" s="140"/>
    </row>
    <row r="50" spans="1:11" s="131" customFormat="1" ht="12.75">
      <c r="A50" s="137"/>
      <c r="B50" s="138">
        <v>4</v>
      </c>
      <c r="C50" s="138" t="s">
        <v>4</v>
      </c>
      <c r="D50" s="138"/>
      <c r="E50" s="138"/>
      <c r="F50" s="138"/>
      <c r="G50" s="328" t="s">
        <v>385</v>
      </c>
      <c r="H50" s="139"/>
      <c r="I50" s="139"/>
      <c r="J50" s="139"/>
      <c r="K50" s="140"/>
    </row>
    <row r="51" spans="1:11" s="131" customFormat="1" ht="12.75">
      <c r="A51" s="137"/>
      <c r="B51" s="138">
        <v>5</v>
      </c>
      <c r="C51" s="138" t="s">
        <v>5</v>
      </c>
      <c r="D51" s="138"/>
      <c r="E51" s="138"/>
      <c r="F51" s="138"/>
      <c r="G51" s="328" t="s">
        <v>428</v>
      </c>
      <c r="H51" s="139"/>
      <c r="I51" s="139"/>
      <c r="J51" s="139"/>
      <c r="K51" s="140"/>
    </row>
    <row r="52" spans="1:11" s="131" customFormat="1" ht="12.75">
      <c r="A52" s="137"/>
      <c r="B52" s="138">
        <v>6</v>
      </c>
      <c r="C52" s="138" t="s">
        <v>6</v>
      </c>
      <c r="D52" s="138"/>
      <c r="E52" s="138"/>
      <c r="F52" s="138"/>
      <c r="G52" s="139" t="str">
        <f>D12</f>
        <v>Jalan Arjuna Utara Keb. Jeuk</v>
      </c>
      <c r="H52" s="139"/>
      <c r="I52" s="139"/>
      <c r="J52" s="139"/>
      <c r="K52" s="140"/>
    </row>
    <row r="53" spans="1:11" s="131" customFormat="1" ht="12.75">
      <c r="A53" s="137"/>
      <c r="B53" s="138"/>
      <c r="C53" s="138"/>
      <c r="D53" s="138"/>
      <c r="E53" s="138"/>
      <c r="F53" s="138"/>
      <c r="G53" s="141" t="s">
        <v>245</v>
      </c>
      <c r="H53" s="129"/>
      <c r="I53" s="129"/>
      <c r="J53" s="129"/>
      <c r="K53" s="142"/>
    </row>
    <row r="54" spans="1:11" s="146" customFormat="1" ht="12.75">
      <c r="A54" s="137"/>
      <c r="B54" s="138">
        <v>7</v>
      </c>
      <c r="C54" s="138" t="s">
        <v>7</v>
      </c>
      <c r="D54" s="138"/>
      <c r="E54" s="138"/>
      <c r="F54" s="138"/>
      <c r="G54" s="143" t="s">
        <v>452</v>
      </c>
      <c r="H54" s="291" t="s">
        <v>452</v>
      </c>
      <c r="I54" s="144" t="s">
        <v>451</v>
      </c>
      <c r="J54" s="144" t="s">
        <v>451</v>
      </c>
      <c r="K54" s="145"/>
    </row>
    <row r="55" spans="1:11" s="146" customFormat="1" ht="12.75">
      <c r="A55" s="147"/>
      <c r="B55" s="148"/>
      <c r="C55" s="148"/>
      <c r="D55" s="148"/>
      <c r="E55" s="148"/>
      <c r="F55" s="148"/>
      <c r="G55" s="149" t="s">
        <v>245</v>
      </c>
      <c r="H55" s="150"/>
      <c r="I55" s="150"/>
      <c r="J55" s="150"/>
      <c r="K55" s="151"/>
    </row>
    <row r="56" spans="1:11" s="146" customFormat="1" ht="12.75">
      <c r="A56" s="147"/>
      <c r="B56" s="148">
        <v>8</v>
      </c>
      <c r="C56" s="148" t="s">
        <v>8</v>
      </c>
      <c r="D56" s="148"/>
      <c r="E56" s="148"/>
      <c r="F56" s="148"/>
      <c r="G56" s="150">
        <v>2006</v>
      </c>
      <c r="H56" s="150"/>
      <c r="I56" s="150"/>
      <c r="J56" s="150"/>
      <c r="K56" s="151"/>
    </row>
    <row r="57" spans="1:11" s="146" customFormat="1" ht="12.75">
      <c r="A57" s="147"/>
      <c r="B57" s="148"/>
      <c r="C57" s="148"/>
      <c r="D57" s="148"/>
      <c r="E57" s="148"/>
      <c r="F57" s="148"/>
      <c r="G57" s="150"/>
      <c r="H57" s="150"/>
      <c r="I57" s="150"/>
      <c r="J57" s="150"/>
      <c r="K57" s="151"/>
    </row>
    <row r="58" spans="1:11" s="146" customFormat="1" ht="12.75">
      <c r="A58" s="147"/>
      <c r="B58" s="148"/>
      <c r="C58" s="148"/>
      <c r="D58" s="148"/>
      <c r="E58" s="148"/>
      <c r="F58" s="148"/>
      <c r="G58" s="149" t="s">
        <v>245</v>
      </c>
      <c r="H58" s="150"/>
      <c r="I58" s="150"/>
      <c r="J58" s="150"/>
      <c r="K58" s="151"/>
    </row>
    <row r="59" spans="1:11" s="146" customFormat="1" ht="12.75">
      <c r="A59" s="147"/>
      <c r="B59" s="148"/>
      <c r="C59" s="148"/>
      <c r="D59" s="148"/>
      <c r="E59" s="148"/>
      <c r="F59" s="148"/>
      <c r="G59" s="149" t="s">
        <v>245</v>
      </c>
      <c r="H59" s="150"/>
      <c r="I59" s="150"/>
      <c r="J59" s="150"/>
      <c r="K59" s="151"/>
    </row>
    <row r="60" spans="1:11" s="146" customFormat="1" ht="12.75">
      <c r="A60" s="152"/>
      <c r="B60" s="153"/>
      <c r="C60" s="153"/>
      <c r="D60" s="153"/>
      <c r="E60" s="153"/>
      <c r="F60" s="153"/>
      <c r="G60" s="154"/>
      <c r="H60" s="154"/>
      <c r="I60" s="154"/>
      <c r="J60" s="154"/>
      <c r="K60" s="155"/>
    </row>
    <row r="61" spans="1:11" s="146" customFormat="1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s="146" customFormat="1" ht="12.75">
      <c r="A62" s="292" t="s">
        <v>9</v>
      </c>
      <c r="B62" s="293" t="s">
        <v>10</v>
      </c>
      <c r="C62" s="293"/>
      <c r="D62" s="293"/>
      <c r="E62" s="157"/>
      <c r="F62" s="157"/>
      <c r="G62" s="157"/>
      <c r="H62" s="157"/>
      <c r="I62" s="157"/>
      <c r="J62" s="157"/>
      <c r="K62" s="158"/>
    </row>
    <row r="63" spans="1:11" s="146" customFormat="1" ht="12.75">
      <c r="A63" s="147"/>
      <c r="B63" s="148">
        <v>1</v>
      </c>
      <c r="C63" s="148" t="s">
        <v>11</v>
      </c>
      <c r="D63" s="148"/>
      <c r="E63" s="148"/>
      <c r="F63" s="148"/>
      <c r="G63" s="150" t="s">
        <v>389</v>
      </c>
      <c r="H63" s="150"/>
      <c r="I63" s="150"/>
      <c r="J63" s="150"/>
      <c r="K63" s="151"/>
    </row>
    <row r="64" spans="1:11" s="146" customFormat="1" ht="12.75">
      <c r="A64" s="147"/>
      <c r="B64" s="148">
        <v>2</v>
      </c>
      <c r="C64" s="148" t="s">
        <v>12</v>
      </c>
      <c r="D64" s="148"/>
      <c r="E64" s="148"/>
      <c r="F64" s="148"/>
      <c r="G64" s="150" t="s">
        <v>429</v>
      </c>
      <c r="H64" s="150"/>
      <c r="I64" s="150"/>
      <c r="J64" s="150"/>
      <c r="K64" s="151"/>
    </row>
    <row r="65" spans="1:11" s="146" customFormat="1" ht="12.75">
      <c r="A65" s="147"/>
      <c r="B65" s="148">
        <v>3</v>
      </c>
      <c r="C65" s="148" t="s">
        <v>13</v>
      </c>
      <c r="D65" s="148"/>
      <c r="E65" s="148"/>
      <c r="F65" s="148"/>
      <c r="G65" s="150" t="s">
        <v>386</v>
      </c>
      <c r="H65" s="150"/>
      <c r="I65" s="150"/>
      <c r="J65" s="150"/>
      <c r="K65" s="151"/>
    </row>
    <row r="66" spans="1:11" s="146" customFormat="1" ht="12.75">
      <c r="A66" s="147"/>
      <c r="B66" s="148">
        <v>4</v>
      </c>
      <c r="C66" s="148" t="s">
        <v>14</v>
      </c>
      <c r="D66" s="148"/>
      <c r="E66" s="148"/>
      <c r="F66" s="148"/>
      <c r="G66" s="150" t="s">
        <v>453</v>
      </c>
      <c r="H66" s="150"/>
      <c r="I66" s="150"/>
      <c r="J66" s="150"/>
      <c r="K66" s="151"/>
    </row>
    <row r="67" spans="1:11" s="131" customFormat="1" ht="12.75">
      <c r="A67" s="147"/>
      <c r="B67" s="148">
        <v>5</v>
      </c>
      <c r="C67" s="148" t="s">
        <v>15</v>
      </c>
      <c r="D67" s="148"/>
      <c r="E67" s="148"/>
      <c r="F67" s="148"/>
      <c r="G67" s="18">
        <f>K214</f>
        <v>144000000</v>
      </c>
      <c r="H67" s="138"/>
      <c r="I67" s="138"/>
      <c r="J67" s="138"/>
      <c r="K67" s="159"/>
    </row>
    <row r="68" spans="1:11" s="131" customFormat="1" ht="12.75">
      <c r="A68" s="160"/>
      <c r="B68" s="161"/>
      <c r="C68" s="161"/>
      <c r="D68" s="161"/>
      <c r="E68" s="161"/>
      <c r="F68" s="161"/>
      <c r="G68" s="162"/>
      <c r="H68" s="161"/>
      <c r="I68" s="161"/>
      <c r="J68" s="161"/>
      <c r="K68" s="163"/>
    </row>
    <row r="69" spans="1:11" s="131" customFormat="1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s="131" customFormat="1" ht="12.75">
      <c r="A70" s="292" t="s">
        <v>16</v>
      </c>
      <c r="B70" s="293" t="s">
        <v>17</v>
      </c>
      <c r="C70" s="293"/>
      <c r="D70" s="293"/>
      <c r="E70" s="135"/>
      <c r="F70" s="135"/>
      <c r="G70" s="135"/>
      <c r="H70" s="135"/>
      <c r="I70" s="135"/>
      <c r="J70" s="135"/>
      <c r="K70" s="136"/>
    </row>
    <row r="71" spans="1:11" s="131" customFormat="1" ht="12.75">
      <c r="A71" s="137"/>
      <c r="B71" s="138">
        <v>1</v>
      </c>
      <c r="C71" s="138" t="s">
        <v>18</v>
      </c>
      <c r="D71" s="138"/>
      <c r="E71" s="138"/>
      <c r="F71" s="138"/>
      <c r="G71" s="129" t="s">
        <v>430</v>
      </c>
      <c r="H71" s="129"/>
      <c r="I71" s="129"/>
      <c r="J71" s="129"/>
      <c r="K71" s="142"/>
    </row>
    <row r="72" spans="1:11" s="131" customFormat="1" ht="12.75">
      <c r="A72" s="137"/>
      <c r="B72" s="138">
        <v>2</v>
      </c>
      <c r="C72" s="138" t="s">
        <v>19</v>
      </c>
      <c r="D72" s="138"/>
      <c r="E72" s="138"/>
      <c r="F72" s="138"/>
      <c r="G72" s="129" t="s">
        <v>431</v>
      </c>
      <c r="H72" s="129"/>
      <c r="I72" s="129"/>
      <c r="J72" s="129"/>
      <c r="K72" s="142"/>
    </row>
    <row r="73" spans="1:11" s="131" customFormat="1" ht="12.75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3"/>
    </row>
    <row r="74" spans="1:11" s="131" customFormat="1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s="131" customFormat="1" ht="12.75">
      <c r="A75" s="292" t="s">
        <v>20</v>
      </c>
      <c r="B75" s="293" t="s">
        <v>21</v>
      </c>
      <c r="C75" s="293"/>
      <c r="D75" s="293"/>
      <c r="E75" s="135"/>
      <c r="F75" s="135"/>
      <c r="G75" s="135"/>
      <c r="H75" s="135"/>
      <c r="I75" s="135"/>
      <c r="J75" s="135"/>
      <c r="K75" s="136"/>
    </row>
    <row r="76" spans="1:11" s="131" customFormat="1" ht="12.75">
      <c r="A76" s="137"/>
      <c r="B76" s="138">
        <v>1</v>
      </c>
      <c r="C76" s="138" t="s">
        <v>24</v>
      </c>
      <c r="D76" s="138"/>
      <c r="E76" s="138"/>
      <c r="F76" s="138"/>
      <c r="G76" s="34">
        <f>0.2*K214</f>
        <v>28800000</v>
      </c>
      <c r="H76" s="138" t="s">
        <v>375</v>
      </c>
      <c r="I76" s="18"/>
      <c r="J76" s="138"/>
      <c r="K76" s="159"/>
    </row>
    <row r="77" spans="1:11" s="131" customFormat="1" ht="12.75">
      <c r="A77" s="137"/>
      <c r="B77" s="138">
        <v>2</v>
      </c>
      <c r="C77" s="138" t="s">
        <v>23</v>
      </c>
      <c r="D77" s="138"/>
      <c r="E77" s="138"/>
      <c r="F77" s="138"/>
      <c r="G77" s="34">
        <f>+J476</f>
        <v>43995000</v>
      </c>
      <c r="H77" s="138"/>
      <c r="I77" s="138"/>
      <c r="J77" s="138"/>
      <c r="K77" s="159"/>
    </row>
    <row r="78" spans="1:11" s="131" customFormat="1" ht="12.75">
      <c r="A78" s="137"/>
      <c r="B78" s="138">
        <v>3</v>
      </c>
      <c r="C78" s="138" t="s">
        <v>22</v>
      </c>
      <c r="D78" s="138"/>
      <c r="E78" s="138"/>
      <c r="F78" s="138"/>
      <c r="G78" s="34">
        <f>+K476</f>
        <v>35000000</v>
      </c>
      <c r="H78" s="138"/>
      <c r="I78" s="138"/>
      <c r="J78" s="138"/>
      <c r="K78" s="159"/>
    </row>
    <row r="79" spans="1:11" s="131" customFormat="1" ht="12.75">
      <c r="A79" s="137"/>
      <c r="B79" s="138">
        <v>4</v>
      </c>
      <c r="C79" s="138" t="s">
        <v>297</v>
      </c>
      <c r="D79" s="138"/>
      <c r="E79" s="138"/>
      <c r="F79" s="18"/>
      <c r="G79" s="327">
        <v>24</v>
      </c>
      <c r="H79" s="138" t="s">
        <v>298</v>
      </c>
      <c r="I79" s="138"/>
      <c r="J79" s="138"/>
      <c r="K79" s="116"/>
    </row>
    <row r="80" spans="1:11" s="131" customFormat="1" ht="12.75">
      <c r="A80" s="137"/>
      <c r="B80" s="138">
        <v>5</v>
      </c>
      <c r="C80" s="138" t="s">
        <v>363</v>
      </c>
      <c r="D80" s="138"/>
      <c r="E80" s="138"/>
      <c r="F80" s="138"/>
      <c r="G80" s="34">
        <f>+K496/$H584</f>
        <v>0</v>
      </c>
      <c r="H80" s="138" t="s">
        <v>364</v>
      </c>
      <c r="I80" s="138"/>
      <c r="J80" s="138"/>
      <c r="K80" s="116">
        <f>+K476/$H$585</f>
        <v>11666666.666666666</v>
      </c>
    </row>
    <row r="81" spans="1:11" s="131" customFormat="1" ht="12.75">
      <c r="A81" s="137"/>
      <c r="B81" s="138">
        <v>6</v>
      </c>
      <c r="C81" s="138" t="s">
        <v>25</v>
      </c>
      <c r="D81" s="138"/>
      <c r="E81" s="138"/>
      <c r="F81" s="138"/>
      <c r="G81" s="34">
        <f>G521</f>
        <v>20543400</v>
      </c>
      <c r="H81" s="138"/>
      <c r="I81" s="138"/>
      <c r="J81" s="138"/>
      <c r="K81" s="159"/>
    </row>
    <row r="82" spans="1:11" s="131" customFormat="1" ht="12.75">
      <c r="A82" s="137"/>
      <c r="B82" s="138">
        <v>7</v>
      </c>
      <c r="C82" s="138" t="s">
        <v>26</v>
      </c>
      <c r="D82" s="138"/>
      <c r="E82" s="138"/>
      <c r="F82" s="138"/>
      <c r="G82" s="164">
        <f>+G644</f>
        <v>0.2337884917106449</v>
      </c>
      <c r="H82" s="138"/>
      <c r="I82" s="138"/>
      <c r="J82" s="138"/>
      <c r="K82" s="159"/>
    </row>
    <row r="83" spans="1:11" s="131" customFormat="1" ht="12.75">
      <c r="A83" s="137"/>
      <c r="B83" s="138">
        <v>8</v>
      </c>
      <c r="C83" s="138" t="s">
        <v>27</v>
      </c>
      <c r="D83" s="138"/>
      <c r="E83" s="138"/>
      <c r="F83" s="138"/>
      <c r="G83" s="164">
        <f>+G524</f>
        <v>0.7866728971962617</v>
      </c>
      <c r="H83" s="138"/>
      <c r="I83" s="138"/>
      <c r="J83" s="138"/>
      <c r="K83" s="159"/>
    </row>
    <row r="84" spans="1:11" s="131" customFormat="1" ht="13.5" thickBot="1">
      <c r="A84" s="160"/>
      <c r="B84" s="161"/>
      <c r="C84" s="161"/>
      <c r="D84" s="161"/>
      <c r="E84" s="161"/>
      <c r="F84" s="161"/>
      <c r="G84" s="161"/>
      <c r="H84" s="161"/>
      <c r="I84" s="161"/>
      <c r="J84" s="161"/>
      <c r="K84" s="163"/>
    </row>
    <row r="85" spans="1:11" s="131" customFormat="1" ht="18.75" thickBot="1">
      <c r="A85" s="294" t="s">
        <v>1</v>
      </c>
      <c r="B85" s="295"/>
      <c r="C85" s="295"/>
      <c r="D85" s="295"/>
      <c r="E85" s="133"/>
      <c r="F85" s="90"/>
      <c r="G85" s="90"/>
      <c r="H85" s="90"/>
      <c r="I85" s="90"/>
      <c r="J85" s="90"/>
      <c r="K85" s="90"/>
    </row>
    <row r="86" spans="1:11" s="131" customFormat="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s="131" customFormat="1" ht="13.5" thickBot="1">
      <c r="A87" s="15" t="s">
        <v>0</v>
      </c>
      <c r="B87" s="15" t="s">
        <v>28</v>
      </c>
      <c r="C87" s="15"/>
      <c r="D87" s="90"/>
      <c r="E87" s="90"/>
      <c r="F87" s="90"/>
      <c r="G87" s="90"/>
      <c r="H87" s="90"/>
      <c r="I87" s="90"/>
      <c r="J87" s="90"/>
      <c r="K87" s="90"/>
    </row>
    <row r="88" spans="1:11" s="131" customFormat="1" ht="12.75">
      <c r="A88" s="90"/>
      <c r="B88" s="90">
        <v>1</v>
      </c>
      <c r="C88" s="90" t="s">
        <v>31</v>
      </c>
      <c r="D88" s="90"/>
      <c r="E88" s="90"/>
      <c r="F88" s="329"/>
      <c r="G88" s="330" t="str">
        <f>G47</f>
        <v>Yayasan Kemala</v>
      </c>
      <c r="H88" s="330"/>
      <c r="I88" s="330"/>
      <c r="J88" s="330"/>
      <c r="K88" s="331"/>
    </row>
    <row r="89" spans="1:11" s="131" customFormat="1" ht="12.75">
      <c r="A89" s="90"/>
      <c r="B89" s="90">
        <v>2</v>
      </c>
      <c r="C89" s="90" t="s">
        <v>29</v>
      </c>
      <c r="D89" s="90"/>
      <c r="E89" s="90"/>
      <c r="F89" s="332"/>
      <c r="G89" s="333" t="str">
        <f>G48</f>
        <v>Mudjiarto</v>
      </c>
      <c r="H89" s="333"/>
      <c r="I89" s="333"/>
      <c r="J89" s="333"/>
      <c r="K89" s="334"/>
    </row>
    <row r="90" spans="1:11" s="131" customFormat="1" ht="12.75">
      <c r="A90" s="90"/>
      <c r="B90" s="90">
        <v>3</v>
      </c>
      <c r="C90" s="90" t="s">
        <v>30</v>
      </c>
      <c r="D90" s="90"/>
      <c r="E90" s="90"/>
      <c r="F90" s="165"/>
      <c r="G90" s="129" t="s">
        <v>455</v>
      </c>
      <c r="H90" s="129"/>
      <c r="I90" s="129"/>
      <c r="J90" s="129"/>
      <c r="K90" s="130"/>
    </row>
    <row r="91" spans="1:11" s="131" customFormat="1" ht="12.75">
      <c r="A91" s="90"/>
      <c r="B91" s="90">
        <v>4</v>
      </c>
      <c r="C91" s="90" t="s">
        <v>3</v>
      </c>
      <c r="D91" s="90"/>
      <c r="E91" s="90"/>
      <c r="F91" s="332"/>
      <c r="G91" s="333" t="str">
        <f>G49</f>
        <v>Klinik Medika UIEU</v>
      </c>
      <c r="H91" s="333"/>
      <c r="I91" s="333"/>
      <c r="J91" s="333"/>
      <c r="K91" s="334"/>
    </row>
    <row r="92" spans="1:11" s="131" customFormat="1" ht="12.75">
      <c r="A92" s="90"/>
      <c r="B92" s="90">
        <v>5</v>
      </c>
      <c r="C92" s="90" t="s">
        <v>5</v>
      </c>
      <c r="D92" s="90"/>
      <c r="E92" s="90"/>
      <c r="F92" s="332"/>
      <c r="G92" s="333" t="str">
        <f>G51</f>
        <v>Yayasan</v>
      </c>
      <c r="H92" s="333"/>
      <c r="I92" s="333"/>
      <c r="J92" s="333"/>
      <c r="K92" s="334"/>
    </row>
    <row r="93" spans="1:11" s="131" customFormat="1" ht="12.75">
      <c r="A93" s="90"/>
      <c r="B93" s="90">
        <v>6</v>
      </c>
      <c r="C93" s="90" t="s">
        <v>6</v>
      </c>
      <c r="D93" s="90"/>
      <c r="E93" s="90"/>
      <c r="F93" s="332"/>
      <c r="G93" s="333" t="str">
        <f>G52</f>
        <v>Jalan Arjuna Utara Keb. Jeuk</v>
      </c>
      <c r="H93" s="333"/>
      <c r="I93" s="333"/>
      <c r="J93" s="333"/>
      <c r="K93" s="334"/>
    </row>
    <row r="94" spans="1:11" s="131" customFormat="1" ht="12.75">
      <c r="A94" s="90"/>
      <c r="B94" s="90"/>
      <c r="C94" s="90"/>
      <c r="D94" s="90"/>
      <c r="E94" s="90"/>
      <c r="F94" s="335"/>
      <c r="G94" s="333"/>
      <c r="H94" s="333"/>
      <c r="I94" s="333"/>
      <c r="J94" s="333"/>
      <c r="K94" s="334"/>
    </row>
    <row r="95" spans="1:11" s="131" customFormat="1" ht="12.75">
      <c r="A95" s="90"/>
      <c r="B95" s="90"/>
      <c r="C95" s="90"/>
      <c r="D95" s="90"/>
      <c r="E95" s="90"/>
      <c r="F95" s="335"/>
      <c r="G95" s="333"/>
      <c r="H95" s="333"/>
      <c r="I95" s="333"/>
      <c r="J95" s="333"/>
      <c r="K95" s="334"/>
    </row>
    <row r="96" spans="1:11" s="131" customFormat="1" ht="12.75">
      <c r="A96" s="90"/>
      <c r="B96" s="90">
        <v>7</v>
      </c>
      <c r="C96" s="90" t="s">
        <v>32</v>
      </c>
      <c r="D96" s="90"/>
      <c r="E96" s="90"/>
      <c r="F96" s="335"/>
      <c r="G96" s="333" t="str">
        <f>G54</f>
        <v>021 - 5673224</v>
      </c>
      <c r="H96" s="333" t="str">
        <f>H54</f>
        <v>021 - 5673224</v>
      </c>
      <c r="I96" s="333" t="s">
        <v>451</v>
      </c>
      <c r="J96" s="333" t="s">
        <v>451</v>
      </c>
      <c r="K96" s="334"/>
    </row>
    <row r="97" spans="1:11" s="131" customFormat="1" ht="12.75">
      <c r="A97" s="90"/>
      <c r="B97" s="90"/>
      <c r="C97" s="90" t="s">
        <v>33</v>
      </c>
      <c r="D97" s="90"/>
      <c r="E97" s="90"/>
      <c r="F97" s="335"/>
      <c r="G97" s="333"/>
      <c r="H97" s="333"/>
      <c r="I97" s="333"/>
      <c r="J97" s="333"/>
      <c r="K97" s="334"/>
    </row>
    <row r="98" spans="1:11" s="131" customFormat="1" ht="13.5" thickBot="1">
      <c r="A98" s="90"/>
      <c r="B98" s="90">
        <v>8</v>
      </c>
      <c r="C98" s="90" t="s">
        <v>4</v>
      </c>
      <c r="D98" s="90"/>
      <c r="E98" s="90"/>
      <c r="F98" s="336"/>
      <c r="G98" s="337" t="str">
        <f>G50</f>
        <v>2 orang</v>
      </c>
      <c r="H98" s="337"/>
      <c r="I98" s="337"/>
      <c r="J98" s="337"/>
      <c r="K98" s="338"/>
    </row>
    <row r="99" spans="1:11" s="131" customFormat="1" ht="12.75">
      <c r="A99" s="90"/>
      <c r="B99" s="90"/>
      <c r="C99" s="90"/>
      <c r="D99" s="90"/>
      <c r="E99" s="90"/>
      <c r="F99" s="138"/>
      <c r="G99" s="138"/>
      <c r="H99" s="138"/>
      <c r="I99" s="138"/>
      <c r="J99" s="138"/>
      <c r="K99" s="138"/>
    </row>
    <row r="100" spans="1:11" s="131" customFormat="1" ht="12.75">
      <c r="A100" s="90"/>
      <c r="B100" s="90"/>
      <c r="C100" s="90"/>
      <c r="D100" s="90"/>
      <c r="E100" s="90"/>
      <c r="F100" s="138"/>
      <c r="G100" s="138"/>
      <c r="H100" s="138"/>
      <c r="I100" s="138"/>
      <c r="J100" s="138"/>
      <c r="K100" s="138"/>
    </row>
    <row r="101" spans="1:11" s="131" customFormat="1" ht="12.75">
      <c r="A101" s="90"/>
      <c r="B101" s="90"/>
      <c r="C101" s="90"/>
      <c r="D101" s="90"/>
      <c r="E101" s="90"/>
      <c r="F101" s="138"/>
      <c r="G101" s="138"/>
      <c r="H101" s="138"/>
      <c r="I101" s="138"/>
      <c r="J101" s="138"/>
      <c r="K101" s="138"/>
    </row>
    <row r="102" spans="1:11" s="131" customFormat="1" ht="12.75">
      <c r="A102" s="90"/>
      <c r="B102" s="90"/>
      <c r="C102" s="90"/>
      <c r="D102" s="90"/>
      <c r="E102" s="90"/>
      <c r="F102" s="138"/>
      <c r="G102" s="138"/>
      <c r="H102" s="138"/>
      <c r="I102" s="138"/>
      <c r="J102" s="138"/>
      <c r="K102" s="138"/>
    </row>
    <row r="103" spans="1:11" s="131" customFormat="1" ht="12.75">
      <c r="A103" s="90"/>
      <c r="B103" s="90"/>
      <c r="C103" s="90"/>
      <c r="D103" s="90"/>
      <c r="E103" s="90"/>
      <c r="F103" s="138"/>
      <c r="G103" s="138"/>
      <c r="H103" s="138"/>
      <c r="I103" s="138"/>
      <c r="J103" s="138"/>
      <c r="K103" s="138"/>
    </row>
    <row r="104" spans="1:11" s="131" customFormat="1" ht="12.75">
      <c r="A104" s="90"/>
      <c r="B104" s="90"/>
      <c r="C104" s="90"/>
      <c r="D104" s="90"/>
      <c r="E104" s="90"/>
      <c r="F104" s="138"/>
      <c r="G104" s="138"/>
      <c r="H104" s="138"/>
      <c r="I104" s="138"/>
      <c r="J104" s="138"/>
      <c r="K104" s="138"/>
    </row>
    <row r="105" spans="1:11" s="131" customFormat="1" ht="12.75">
      <c r="A105" s="15" t="s">
        <v>34</v>
      </c>
      <c r="B105" s="15" t="s">
        <v>35</v>
      </c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11" s="131" customFormat="1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1:11" s="131" customFormat="1" ht="12.75">
      <c r="A107" s="90"/>
      <c r="B107" s="90" t="s">
        <v>36</v>
      </c>
      <c r="C107" s="90"/>
      <c r="D107" s="90"/>
      <c r="E107" s="370" t="s">
        <v>37</v>
      </c>
      <c r="F107" s="371"/>
      <c r="G107" s="371"/>
      <c r="H107" s="372"/>
      <c r="I107" s="169" t="s">
        <v>38</v>
      </c>
      <c r="J107" s="166" t="s">
        <v>39</v>
      </c>
      <c r="K107" s="169" t="s">
        <v>366</v>
      </c>
    </row>
    <row r="108" spans="1:12" s="131" customFormat="1" ht="12.75">
      <c r="A108" s="90"/>
      <c r="B108" s="90"/>
      <c r="C108" s="90"/>
      <c r="D108" s="90"/>
      <c r="E108" s="137"/>
      <c r="F108" s="138"/>
      <c r="G108" s="138"/>
      <c r="H108" s="138"/>
      <c r="I108" s="170"/>
      <c r="J108" s="171" t="s">
        <v>40</v>
      </c>
      <c r="K108" s="170" t="s">
        <v>367</v>
      </c>
      <c r="L108" s="128"/>
    </row>
    <row r="109" spans="1:11" s="131" customFormat="1" ht="12.75">
      <c r="A109" s="90"/>
      <c r="B109" s="90"/>
      <c r="C109" s="90"/>
      <c r="D109" s="90"/>
      <c r="E109" s="172" t="s">
        <v>441</v>
      </c>
      <c r="F109" s="173"/>
      <c r="G109" s="173"/>
      <c r="H109" s="173"/>
      <c r="I109" s="58">
        <v>4</v>
      </c>
      <c r="J109" s="174"/>
      <c r="K109" s="113">
        <f aca="true" t="shared" si="0" ref="K109:K115">+I109*J109</f>
        <v>0</v>
      </c>
    </row>
    <row r="110" spans="1:11" s="131" customFormat="1" ht="12.75">
      <c r="A110" s="90"/>
      <c r="B110" s="90"/>
      <c r="C110" s="90"/>
      <c r="D110" s="90"/>
      <c r="E110" s="172" t="s">
        <v>442</v>
      </c>
      <c r="F110" s="161"/>
      <c r="G110" s="161"/>
      <c r="H110" s="161"/>
      <c r="I110" s="58">
        <v>1</v>
      </c>
      <c r="J110" s="175">
        <v>2000000</v>
      </c>
      <c r="K110" s="113">
        <f t="shared" si="0"/>
        <v>2000000</v>
      </c>
    </row>
    <row r="111" spans="1:11" s="131" customFormat="1" ht="12.75">
      <c r="A111" s="90"/>
      <c r="B111" s="90"/>
      <c r="C111" s="90"/>
      <c r="D111" s="90"/>
      <c r="E111" s="172" t="s">
        <v>443</v>
      </c>
      <c r="F111" s="161"/>
      <c r="G111" s="161"/>
      <c r="H111" s="161"/>
      <c r="I111" s="58">
        <v>1</v>
      </c>
      <c r="J111" s="175"/>
      <c r="K111" s="113">
        <f t="shared" si="0"/>
        <v>0</v>
      </c>
    </row>
    <row r="112" spans="1:11" s="131" customFormat="1" ht="12.75">
      <c r="A112" s="90"/>
      <c r="B112" s="90"/>
      <c r="C112" s="90"/>
      <c r="D112" s="90"/>
      <c r="E112" s="172"/>
      <c r="F112" s="161"/>
      <c r="G112" s="161"/>
      <c r="H112" s="161"/>
      <c r="I112" s="58"/>
      <c r="J112" s="174"/>
      <c r="K112" s="113">
        <f t="shared" si="0"/>
        <v>0</v>
      </c>
    </row>
    <row r="113" spans="1:11" s="131" customFormat="1" ht="12.75">
      <c r="A113" s="90"/>
      <c r="B113" s="90"/>
      <c r="C113" s="90"/>
      <c r="D113" s="90"/>
      <c r="E113" s="172"/>
      <c r="F113" s="161"/>
      <c r="G113" s="161"/>
      <c r="H113" s="161"/>
      <c r="I113" s="58"/>
      <c r="J113" s="174"/>
      <c r="K113" s="113">
        <f t="shared" si="0"/>
        <v>0</v>
      </c>
    </row>
    <row r="114" spans="1:11" s="131" customFormat="1" ht="12.75">
      <c r="A114" s="90"/>
      <c r="B114" s="90"/>
      <c r="C114" s="90"/>
      <c r="D114" s="90"/>
      <c r="E114" s="172"/>
      <c r="F114" s="161"/>
      <c r="G114" s="161"/>
      <c r="H114" s="161"/>
      <c r="I114" s="58"/>
      <c r="J114" s="174"/>
      <c r="K114" s="113">
        <f t="shared" si="0"/>
        <v>0</v>
      </c>
    </row>
    <row r="115" spans="1:11" s="131" customFormat="1" ht="12.75">
      <c r="A115" s="90"/>
      <c r="B115" s="90"/>
      <c r="C115" s="90"/>
      <c r="D115" s="90"/>
      <c r="E115" s="176"/>
      <c r="F115" s="177"/>
      <c r="G115" s="177"/>
      <c r="H115" s="177"/>
      <c r="I115" s="178"/>
      <c r="J115" s="179"/>
      <c r="K115" s="113">
        <f t="shared" si="0"/>
        <v>0</v>
      </c>
    </row>
    <row r="116" spans="1:11" s="131" customFormat="1" ht="13.5" thickBot="1">
      <c r="A116" s="90"/>
      <c r="B116" s="90"/>
      <c r="C116" s="90"/>
      <c r="D116" s="90"/>
      <c r="E116" s="160" t="s">
        <v>38</v>
      </c>
      <c r="F116" s="161"/>
      <c r="G116" s="161"/>
      <c r="H116" s="161"/>
      <c r="I116" s="180"/>
      <c r="J116" s="180"/>
      <c r="K116" s="181">
        <f>SUM(K109:K115)</f>
        <v>2000000</v>
      </c>
    </row>
    <row r="117" spans="1:11" s="131" customFormat="1" ht="14.25" thickBot="1" thickTop="1">
      <c r="A117" s="90"/>
      <c r="B117" s="90"/>
      <c r="C117" s="90"/>
      <c r="D117" s="90"/>
      <c r="E117" s="90"/>
      <c r="F117" s="90"/>
      <c r="G117" s="90"/>
      <c r="H117" s="90"/>
      <c r="I117" s="34"/>
      <c r="J117" s="34"/>
      <c r="K117" s="34"/>
    </row>
    <row r="118" spans="1:11" s="131" customFormat="1" ht="13.5" thickBot="1">
      <c r="A118" s="90"/>
      <c r="B118" s="90"/>
      <c r="C118" s="90"/>
      <c r="D118" s="15" t="s">
        <v>42</v>
      </c>
      <c r="E118" s="90"/>
      <c r="F118" s="90"/>
      <c r="G118" s="90"/>
      <c r="H118" s="90"/>
      <c r="I118" s="34"/>
      <c r="J118" s="34"/>
      <c r="K118" s="182">
        <f>12*K116</f>
        <v>24000000</v>
      </c>
    </row>
    <row r="119" spans="1:11" s="131" customFormat="1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1:11" s="131" customFormat="1" ht="12.75">
      <c r="A120" s="90"/>
      <c r="B120" s="90" t="s">
        <v>372</v>
      </c>
      <c r="C120" s="90"/>
      <c r="D120" s="90"/>
      <c r="E120" s="370" t="s">
        <v>37</v>
      </c>
      <c r="F120" s="371"/>
      <c r="G120" s="371"/>
      <c r="H120" s="372"/>
      <c r="I120" s="169" t="s">
        <v>38</v>
      </c>
      <c r="J120" s="167" t="s">
        <v>39</v>
      </c>
      <c r="K120" s="169" t="s">
        <v>366</v>
      </c>
    </row>
    <row r="121" spans="1:11" s="131" customFormat="1" ht="12.75">
      <c r="A121" s="90"/>
      <c r="B121" s="90"/>
      <c r="C121" s="90"/>
      <c r="D121" s="90"/>
      <c r="E121" s="160"/>
      <c r="F121" s="161"/>
      <c r="G121" s="161"/>
      <c r="H121" s="161"/>
      <c r="I121" s="183"/>
      <c r="J121" s="161"/>
      <c r="K121" s="184" t="s">
        <v>41</v>
      </c>
    </row>
    <row r="122" spans="1:11" s="131" customFormat="1" ht="12.75">
      <c r="A122" s="90"/>
      <c r="B122" s="90"/>
      <c r="C122" s="90"/>
      <c r="D122" s="90"/>
      <c r="E122" s="172" t="s">
        <v>376</v>
      </c>
      <c r="F122" s="173"/>
      <c r="G122" s="173"/>
      <c r="H122" s="173"/>
      <c r="I122" s="58">
        <v>1</v>
      </c>
      <c r="J122" s="175">
        <v>600000</v>
      </c>
      <c r="K122" s="113">
        <f>+I122*J122</f>
        <v>600000</v>
      </c>
    </row>
    <row r="123" spans="1:11" s="131" customFormat="1" ht="12.75">
      <c r="A123" s="90"/>
      <c r="B123" s="90"/>
      <c r="C123" s="90"/>
      <c r="D123" s="90"/>
      <c r="E123" s="172" t="s">
        <v>387</v>
      </c>
      <c r="F123" s="173"/>
      <c r="G123" s="173"/>
      <c r="H123" s="173"/>
      <c r="I123" s="58">
        <v>1</v>
      </c>
      <c r="J123" s="175">
        <v>750000</v>
      </c>
      <c r="K123" s="113">
        <f>+I123*J123</f>
        <v>750000</v>
      </c>
    </row>
    <row r="124" spans="1:11" s="131" customFormat="1" ht="12.75">
      <c r="A124" s="90"/>
      <c r="B124" s="90"/>
      <c r="C124" s="90"/>
      <c r="D124" s="90"/>
      <c r="E124" s="172"/>
      <c r="F124" s="173"/>
      <c r="G124" s="173"/>
      <c r="H124" s="173"/>
      <c r="I124" s="58"/>
      <c r="J124" s="175"/>
      <c r="K124" s="113">
        <f>+I124*J124</f>
        <v>0</v>
      </c>
    </row>
    <row r="125" spans="1:11" s="131" customFormat="1" ht="12.75">
      <c r="A125" s="90"/>
      <c r="B125" s="90"/>
      <c r="C125" s="90"/>
      <c r="D125" s="90"/>
      <c r="E125" s="185"/>
      <c r="F125" s="186"/>
      <c r="G125" s="186"/>
      <c r="H125" s="186"/>
      <c r="I125" s="58"/>
      <c r="J125" s="175"/>
      <c r="K125" s="113">
        <f>+I125*J125</f>
        <v>0</v>
      </c>
    </row>
    <row r="126" spans="1:11" s="131" customFormat="1" ht="12.75">
      <c r="A126" s="90"/>
      <c r="B126" s="90"/>
      <c r="C126" s="90"/>
      <c r="D126" s="90"/>
      <c r="E126" s="187"/>
      <c r="F126" s="186"/>
      <c r="G126" s="186"/>
      <c r="H126" s="186"/>
      <c r="I126" s="58"/>
      <c r="J126" s="175"/>
      <c r="K126" s="113">
        <f>+I126*J126</f>
        <v>0</v>
      </c>
    </row>
    <row r="127" spans="1:11" s="131" customFormat="1" ht="13.5" thickBot="1">
      <c r="A127" s="90"/>
      <c r="B127" s="90"/>
      <c r="C127" s="90"/>
      <c r="D127" s="90"/>
      <c r="E127" s="160" t="s">
        <v>38</v>
      </c>
      <c r="F127" s="161"/>
      <c r="G127" s="161"/>
      <c r="H127" s="161"/>
      <c r="I127" s="180"/>
      <c r="J127" s="180"/>
      <c r="K127" s="181">
        <f>SUM(K122:K126)</f>
        <v>1350000</v>
      </c>
    </row>
    <row r="128" spans="1:11" s="131" customFormat="1" ht="14.25" thickBot="1" thickTop="1">
      <c r="A128" s="90"/>
      <c r="B128" s="90"/>
      <c r="C128" s="90"/>
      <c r="D128" s="90"/>
      <c r="E128" s="90"/>
      <c r="F128" s="90"/>
      <c r="G128" s="90"/>
      <c r="H128" s="90"/>
      <c r="I128" s="34"/>
      <c r="J128" s="34"/>
      <c r="K128" s="34"/>
    </row>
    <row r="129" spans="1:11" s="131" customFormat="1" ht="13.5" thickBot="1">
      <c r="A129" s="90"/>
      <c r="B129" s="90"/>
      <c r="C129" s="90"/>
      <c r="D129" s="15" t="s">
        <v>43</v>
      </c>
      <c r="E129" s="90"/>
      <c r="F129" s="90"/>
      <c r="G129" s="90"/>
      <c r="H129" s="90"/>
      <c r="I129" s="34"/>
      <c r="J129" s="34"/>
      <c r="K129" s="182">
        <f>12*K127</f>
        <v>16200000</v>
      </c>
    </row>
    <row r="130" spans="1:11" s="131" customFormat="1" ht="12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s="296" customFormat="1" ht="12.75">
      <c r="A131" s="15" t="s">
        <v>16</v>
      </c>
      <c r="B131" s="15" t="s">
        <v>44</v>
      </c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s="131" customFormat="1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1:11" s="131" customFormat="1" ht="12.75">
      <c r="A133" s="90"/>
      <c r="B133" s="90"/>
      <c r="C133" s="90"/>
      <c r="D133" s="90"/>
      <c r="E133" s="370" t="s">
        <v>237</v>
      </c>
      <c r="F133" s="371"/>
      <c r="G133" s="371"/>
      <c r="H133" s="371"/>
      <c r="I133" s="371"/>
      <c r="J133" s="372"/>
      <c r="K133" s="169" t="s">
        <v>38</v>
      </c>
    </row>
    <row r="134" spans="1:11" s="131" customFormat="1" ht="12.75">
      <c r="A134" s="90"/>
      <c r="B134" s="90"/>
      <c r="C134" s="90"/>
      <c r="D134" s="90"/>
      <c r="E134" s="160"/>
      <c r="F134" s="161"/>
      <c r="G134" s="161"/>
      <c r="H134" s="161"/>
      <c r="I134" s="161"/>
      <c r="J134" s="161"/>
      <c r="K134" s="184" t="s">
        <v>41</v>
      </c>
    </row>
    <row r="135" spans="1:11" s="131" customFormat="1" ht="12.75">
      <c r="A135" s="90"/>
      <c r="B135" s="90"/>
      <c r="C135" s="90"/>
      <c r="D135" s="90"/>
      <c r="E135" s="188">
        <v>1</v>
      </c>
      <c r="F135" s="186" t="s">
        <v>376</v>
      </c>
      <c r="G135" s="186"/>
      <c r="H135" s="186"/>
      <c r="I135" s="186"/>
      <c r="J135" s="186"/>
      <c r="K135" s="58">
        <v>500000</v>
      </c>
    </row>
    <row r="136" spans="1:11" s="131" customFormat="1" ht="12.75">
      <c r="A136" s="90"/>
      <c r="B136" s="90"/>
      <c r="C136" s="90"/>
      <c r="D136" s="90"/>
      <c r="E136" s="188">
        <v>2</v>
      </c>
      <c r="F136" s="186" t="s">
        <v>377</v>
      </c>
      <c r="G136" s="186"/>
      <c r="H136" s="186"/>
      <c r="I136" s="186"/>
      <c r="J136" s="186"/>
      <c r="K136" s="58">
        <v>50000</v>
      </c>
    </row>
    <row r="137" spans="1:11" s="131" customFormat="1" ht="12.75">
      <c r="A137" s="90"/>
      <c r="B137" s="90"/>
      <c r="C137" s="90"/>
      <c r="D137" s="90"/>
      <c r="E137" s="187" t="s">
        <v>46</v>
      </c>
      <c r="F137" s="186" t="s">
        <v>378</v>
      </c>
      <c r="G137" s="186"/>
      <c r="H137" s="186"/>
      <c r="I137" s="186"/>
      <c r="J137" s="186"/>
      <c r="K137" s="58">
        <v>50000</v>
      </c>
    </row>
    <row r="138" spans="1:11" s="131" customFormat="1" ht="12.75">
      <c r="A138" s="90"/>
      <c r="B138" s="90"/>
      <c r="C138" s="90"/>
      <c r="D138" s="90"/>
      <c r="E138" s="187" t="s">
        <v>47</v>
      </c>
      <c r="F138" s="186"/>
      <c r="G138" s="186"/>
      <c r="H138" s="186"/>
      <c r="I138" s="186"/>
      <c r="J138" s="186"/>
      <c r="K138" s="58"/>
    </row>
    <row r="139" spans="1:11" s="131" customFormat="1" ht="13.5" thickBot="1">
      <c r="A139" s="90"/>
      <c r="B139" s="90"/>
      <c r="C139" s="90"/>
      <c r="D139" s="90"/>
      <c r="E139" s="187" t="s">
        <v>48</v>
      </c>
      <c r="F139" s="186"/>
      <c r="G139" s="186"/>
      <c r="H139" s="186"/>
      <c r="I139" s="186"/>
      <c r="J139" s="186"/>
      <c r="K139" s="189"/>
    </row>
    <row r="140" spans="1:11" s="131" customFormat="1" ht="14.25" thickBot="1" thickTop="1">
      <c r="A140" s="90"/>
      <c r="B140" s="90"/>
      <c r="C140" s="90"/>
      <c r="D140" s="90"/>
      <c r="E140" s="160" t="s">
        <v>49</v>
      </c>
      <c r="F140" s="161"/>
      <c r="G140" s="161"/>
      <c r="H140" s="161"/>
      <c r="I140" s="161"/>
      <c r="J140" s="161"/>
      <c r="K140" s="181">
        <f>SUM(K135:K139)</f>
        <v>600000</v>
      </c>
    </row>
    <row r="141" spans="1:11" s="131" customFormat="1" ht="14.25" thickBot="1" thickTop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34"/>
    </row>
    <row r="142" spans="1:11" s="131" customFormat="1" ht="13.5" thickBot="1">
      <c r="A142" s="90"/>
      <c r="B142" s="90"/>
      <c r="C142" s="90"/>
      <c r="D142" s="15" t="s">
        <v>50</v>
      </c>
      <c r="E142" s="90"/>
      <c r="F142" s="90"/>
      <c r="G142" s="90"/>
      <c r="H142" s="90"/>
      <c r="I142" s="90"/>
      <c r="J142" s="90"/>
      <c r="K142" s="182">
        <f>12*K140</f>
        <v>7200000</v>
      </c>
    </row>
    <row r="143" spans="1:11" s="131" customFormat="1" ht="12.75">
      <c r="A143" s="90"/>
      <c r="B143" s="90"/>
      <c r="C143" s="90"/>
      <c r="D143" s="15"/>
      <c r="E143" s="90"/>
      <c r="F143" s="90"/>
      <c r="G143" s="90"/>
      <c r="H143" s="90"/>
      <c r="I143" s="90"/>
      <c r="J143" s="90"/>
      <c r="K143" s="18"/>
    </row>
    <row r="144" spans="1:11" s="296" customFormat="1" ht="12.75">
      <c r="A144" s="15" t="s">
        <v>20</v>
      </c>
      <c r="B144" s="15" t="s">
        <v>51</v>
      </c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s="131" customFormat="1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s="131" customFormat="1" ht="12.75">
      <c r="A146" s="90"/>
      <c r="B146" s="90"/>
      <c r="C146" s="90"/>
      <c r="D146" s="90"/>
      <c r="E146" s="190" t="s">
        <v>52</v>
      </c>
      <c r="F146" s="190" t="s">
        <v>53</v>
      </c>
      <c r="G146" s="99"/>
      <c r="H146" s="99"/>
      <c r="I146" s="99"/>
      <c r="J146" s="99"/>
      <c r="K146" s="98" t="s">
        <v>38</v>
      </c>
    </row>
    <row r="147" spans="1:11" s="131" customFormat="1" ht="12.75">
      <c r="A147" s="90"/>
      <c r="B147" s="90"/>
      <c r="C147" s="90"/>
      <c r="D147" s="90"/>
      <c r="E147" s="191" t="s">
        <v>45</v>
      </c>
      <c r="F147" s="185"/>
      <c r="G147" s="186"/>
      <c r="H147" s="186"/>
      <c r="I147" s="186"/>
      <c r="J147" s="186"/>
      <c r="K147" s="58"/>
    </row>
    <row r="148" spans="1:11" s="131" customFormat="1" ht="12.75">
      <c r="A148" s="90"/>
      <c r="B148" s="90"/>
      <c r="C148" s="90"/>
      <c r="D148" s="90"/>
      <c r="E148" s="192" t="s">
        <v>54</v>
      </c>
      <c r="F148" s="185" t="s">
        <v>388</v>
      </c>
      <c r="G148" s="186"/>
      <c r="H148" s="186"/>
      <c r="I148" s="186"/>
      <c r="J148" s="186"/>
      <c r="K148" s="58">
        <v>3000000</v>
      </c>
    </row>
    <row r="149" spans="1:11" s="131" customFormat="1" ht="12.75">
      <c r="A149" s="90"/>
      <c r="B149" s="90"/>
      <c r="C149" s="90"/>
      <c r="D149" s="90"/>
      <c r="E149" s="192" t="s">
        <v>55</v>
      </c>
      <c r="F149" s="185"/>
      <c r="G149" s="186"/>
      <c r="H149" s="186"/>
      <c r="I149" s="186"/>
      <c r="J149" s="186"/>
      <c r="K149" s="58"/>
    </row>
    <row r="150" spans="1:11" s="131" customFormat="1" ht="12.75">
      <c r="A150" s="90"/>
      <c r="B150" s="90"/>
      <c r="C150" s="90"/>
      <c r="D150" s="90"/>
      <c r="E150" s="191" t="s">
        <v>47</v>
      </c>
      <c r="F150" s="185"/>
      <c r="G150" s="186"/>
      <c r="H150" s="186"/>
      <c r="I150" s="186"/>
      <c r="J150" s="186"/>
      <c r="K150" s="58"/>
    </row>
    <row r="151" spans="1:11" s="131" customFormat="1" ht="12.75">
      <c r="A151" s="90"/>
      <c r="B151" s="90"/>
      <c r="C151" s="90"/>
      <c r="D151" s="90"/>
      <c r="E151" s="191" t="s">
        <v>48</v>
      </c>
      <c r="F151" s="185"/>
      <c r="G151" s="186"/>
      <c r="H151" s="186"/>
      <c r="I151" s="186"/>
      <c r="J151" s="186"/>
      <c r="K151" s="58"/>
    </row>
    <row r="152" spans="1:11" s="131" customFormat="1" ht="12.75">
      <c r="A152" s="90"/>
      <c r="B152" s="90"/>
      <c r="C152" s="90"/>
      <c r="D152" s="90"/>
      <c r="E152" s="191" t="s">
        <v>56</v>
      </c>
      <c r="F152" s="185"/>
      <c r="G152" s="186"/>
      <c r="H152" s="186"/>
      <c r="I152" s="186"/>
      <c r="J152" s="186"/>
      <c r="K152" s="58"/>
    </row>
    <row r="153" spans="1:11" s="131" customFormat="1" ht="13.5" thickBot="1">
      <c r="A153" s="90"/>
      <c r="B153" s="90"/>
      <c r="C153" s="90"/>
      <c r="D153" s="90"/>
      <c r="E153" s="191" t="s">
        <v>57</v>
      </c>
      <c r="F153" s="185"/>
      <c r="G153" s="186"/>
      <c r="H153" s="186"/>
      <c r="I153" s="186"/>
      <c r="J153" s="186"/>
      <c r="K153" s="193"/>
    </row>
    <row r="154" spans="1:11" s="131" customFormat="1" ht="13.5" thickBot="1">
      <c r="A154" s="90"/>
      <c r="B154" s="90"/>
      <c r="C154" s="90"/>
      <c r="D154" s="90"/>
      <c r="E154" s="16" t="s">
        <v>38</v>
      </c>
      <c r="F154" s="161"/>
      <c r="G154" s="161"/>
      <c r="H154" s="161"/>
      <c r="I154" s="161"/>
      <c r="J154" s="161"/>
      <c r="K154" s="182">
        <f>SUM(K147:K153)</f>
        <v>3000000</v>
      </c>
    </row>
    <row r="155" spans="1:11" s="131" customFormat="1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1:11" s="296" customFormat="1" ht="12.75">
      <c r="A156" s="15" t="s">
        <v>84</v>
      </c>
      <c r="B156" s="15" t="s">
        <v>278</v>
      </c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s="131" customFormat="1" ht="12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1:11" s="131" customFormat="1" ht="12.75">
      <c r="A158" s="90"/>
      <c r="B158" s="194"/>
      <c r="C158" s="195"/>
      <c r="D158" s="195"/>
      <c r="E158" s="195"/>
      <c r="F158" s="195"/>
      <c r="G158" s="195"/>
      <c r="H158" s="195"/>
      <c r="I158" s="195"/>
      <c r="J158" s="195"/>
      <c r="K158" s="196"/>
    </row>
    <row r="159" spans="1:11" s="131" customFormat="1" ht="12.75">
      <c r="A159" s="90"/>
      <c r="B159" s="197"/>
      <c r="C159" s="129"/>
      <c r="D159" s="129"/>
      <c r="E159" s="129"/>
      <c r="F159" s="129"/>
      <c r="G159" s="129"/>
      <c r="H159" s="129"/>
      <c r="I159" s="75"/>
      <c r="J159" s="129"/>
      <c r="K159" s="142"/>
    </row>
    <row r="160" spans="1:11" s="131" customFormat="1" ht="12.75">
      <c r="A160" s="90"/>
      <c r="B160" s="197"/>
      <c r="C160" s="129"/>
      <c r="D160" s="129"/>
      <c r="E160" s="129"/>
      <c r="F160" s="129"/>
      <c r="G160" s="129"/>
      <c r="H160" s="129"/>
      <c r="I160" s="75"/>
      <c r="J160" s="129"/>
      <c r="K160" s="142"/>
    </row>
    <row r="161" spans="1:11" s="131" customFormat="1" ht="12.75">
      <c r="A161" s="90"/>
      <c r="B161" s="197"/>
      <c r="C161" s="129"/>
      <c r="D161" s="129"/>
      <c r="E161" s="129"/>
      <c r="F161" s="129"/>
      <c r="G161" s="129"/>
      <c r="H161" s="129"/>
      <c r="I161" s="75"/>
      <c r="J161" s="129"/>
      <c r="K161" s="142"/>
    </row>
    <row r="162" spans="1:11" s="131" customFormat="1" ht="12.75">
      <c r="A162" s="90"/>
      <c r="B162" s="197"/>
      <c r="C162" s="129"/>
      <c r="D162" s="129"/>
      <c r="E162" s="129"/>
      <c r="F162" s="129"/>
      <c r="G162" s="129"/>
      <c r="H162" s="129"/>
      <c r="I162" s="75"/>
      <c r="J162" s="129"/>
      <c r="K162" s="142"/>
    </row>
    <row r="163" spans="1:11" s="131" customFormat="1" ht="12.75">
      <c r="A163" s="90"/>
      <c r="B163" s="197"/>
      <c r="C163" s="129"/>
      <c r="D163" s="129"/>
      <c r="E163" s="129"/>
      <c r="F163" s="129"/>
      <c r="G163" s="129"/>
      <c r="H163" s="129"/>
      <c r="I163" s="75"/>
      <c r="J163" s="129"/>
      <c r="K163" s="142"/>
    </row>
    <row r="164" spans="1:11" s="131" customFormat="1" ht="12.75">
      <c r="A164" s="90"/>
      <c r="B164" s="197"/>
      <c r="C164" s="129"/>
      <c r="D164" s="129"/>
      <c r="E164" s="129"/>
      <c r="F164" s="129"/>
      <c r="G164" s="129"/>
      <c r="H164" s="129"/>
      <c r="I164" s="75"/>
      <c r="J164" s="129"/>
      <c r="K164" s="142"/>
    </row>
    <row r="165" spans="1:11" s="131" customFormat="1" ht="12.75">
      <c r="A165" s="90"/>
      <c r="B165" s="197"/>
      <c r="C165" s="129"/>
      <c r="D165" s="129"/>
      <c r="E165" s="129"/>
      <c r="F165" s="129"/>
      <c r="G165" s="129"/>
      <c r="H165" s="129"/>
      <c r="I165" s="75"/>
      <c r="J165" s="129"/>
      <c r="K165" s="142"/>
    </row>
    <row r="166" spans="1:11" s="131" customFormat="1" ht="12.75">
      <c r="A166" s="90"/>
      <c r="B166" s="197"/>
      <c r="C166" s="129"/>
      <c r="D166" s="129"/>
      <c r="E166" s="129"/>
      <c r="F166" s="129"/>
      <c r="G166" s="129"/>
      <c r="H166" s="129"/>
      <c r="I166" s="75"/>
      <c r="J166" s="129"/>
      <c r="K166" s="142"/>
    </row>
    <row r="167" spans="1:11" s="131" customFormat="1" ht="12.75">
      <c r="A167" s="90"/>
      <c r="B167" s="197"/>
      <c r="C167" s="129"/>
      <c r="D167" s="129"/>
      <c r="E167" s="129"/>
      <c r="F167" s="129"/>
      <c r="G167" s="129"/>
      <c r="H167" s="129"/>
      <c r="I167" s="75"/>
      <c r="J167" s="129"/>
      <c r="K167" s="142"/>
    </row>
    <row r="168" spans="1:11" s="131" customFormat="1" ht="12.75">
      <c r="A168" s="90"/>
      <c r="B168" s="197"/>
      <c r="C168" s="129"/>
      <c r="D168" s="129"/>
      <c r="E168" s="129"/>
      <c r="F168" s="129"/>
      <c r="G168" s="129"/>
      <c r="H168" s="129"/>
      <c r="I168" s="75"/>
      <c r="J168" s="129"/>
      <c r="K168" s="142"/>
    </row>
    <row r="169" spans="1:11" s="131" customFormat="1" ht="12.75">
      <c r="A169" s="90"/>
      <c r="B169" s="197"/>
      <c r="C169" s="129"/>
      <c r="D169" s="129"/>
      <c r="E169" s="129"/>
      <c r="F169" s="129"/>
      <c r="G169" s="129"/>
      <c r="H169" s="129"/>
      <c r="I169" s="75"/>
      <c r="J169" s="129"/>
      <c r="K169" s="142"/>
    </row>
    <row r="170" spans="1:11" s="131" customFormat="1" ht="12.75">
      <c r="A170" s="90"/>
      <c r="B170" s="197"/>
      <c r="C170" s="129"/>
      <c r="D170" s="129"/>
      <c r="E170" s="129"/>
      <c r="F170" s="129"/>
      <c r="G170" s="129"/>
      <c r="H170" s="129"/>
      <c r="I170" s="75"/>
      <c r="J170" s="129"/>
      <c r="K170" s="142"/>
    </row>
    <row r="171" spans="1:11" s="131" customFormat="1" ht="12.75">
      <c r="A171" s="90"/>
      <c r="B171" s="198"/>
      <c r="C171" s="177"/>
      <c r="D171" s="177"/>
      <c r="E171" s="177"/>
      <c r="F171" s="177"/>
      <c r="G171" s="177"/>
      <c r="H171" s="177"/>
      <c r="I171" s="76"/>
      <c r="J171" s="177"/>
      <c r="K171" s="199"/>
    </row>
    <row r="172" spans="1:11" s="131" customFormat="1" ht="12.75">
      <c r="A172" s="90"/>
      <c r="B172" s="90"/>
      <c r="C172" s="90"/>
      <c r="D172" s="90"/>
      <c r="E172" s="90"/>
      <c r="F172" s="90"/>
      <c r="G172" s="90"/>
      <c r="H172" s="90"/>
      <c r="I172" s="15"/>
      <c r="J172" s="90"/>
      <c r="K172" s="90"/>
    </row>
    <row r="173" spans="1:11" s="296" customFormat="1" ht="12.75">
      <c r="A173" s="15" t="s">
        <v>85</v>
      </c>
      <c r="B173" s="15" t="s">
        <v>86</v>
      </c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s="131" customFormat="1" ht="12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1:11" s="131" customFormat="1" ht="12.75">
      <c r="A175" s="90"/>
      <c r="B175" s="134" t="s">
        <v>87</v>
      </c>
      <c r="C175" s="135"/>
      <c r="D175" s="135"/>
      <c r="E175" s="135"/>
      <c r="F175" s="135"/>
      <c r="G175" s="172" t="s">
        <v>100</v>
      </c>
      <c r="H175" s="173"/>
      <c r="I175" s="173"/>
      <c r="J175" s="173"/>
      <c r="K175" s="200" t="s">
        <v>238</v>
      </c>
    </row>
    <row r="176" spans="1:11" s="131" customFormat="1" ht="12.75">
      <c r="A176" s="90"/>
      <c r="B176" s="160"/>
      <c r="C176" s="161"/>
      <c r="D176" s="161"/>
      <c r="E176" s="161"/>
      <c r="F176" s="161"/>
      <c r="G176" s="201" t="s">
        <v>240</v>
      </c>
      <c r="H176" s="98" t="s">
        <v>241</v>
      </c>
      <c r="I176" s="202" t="s">
        <v>242</v>
      </c>
      <c r="J176" s="98" t="s">
        <v>243</v>
      </c>
      <c r="K176" s="183" t="s">
        <v>239</v>
      </c>
    </row>
    <row r="177" spans="1:11" s="131" customFormat="1" ht="12.75">
      <c r="A177" s="90"/>
      <c r="B177" s="172">
        <v>1</v>
      </c>
      <c r="C177" s="173" t="s">
        <v>88</v>
      </c>
      <c r="D177" s="173"/>
      <c r="E177" s="173"/>
      <c r="F177" s="173"/>
      <c r="G177" s="185"/>
      <c r="H177" s="93"/>
      <c r="I177" s="186"/>
      <c r="J177" s="93"/>
      <c r="K177" s="58"/>
    </row>
    <row r="178" spans="1:11" s="131" customFormat="1" ht="12.75">
      <c r="A178" s="90"/>
      <c r="B178" s="137">
        <f>+B177+1</f>
        <v>2</v>
      </c>
      <c r="C178" s="138" t="s">
        <v>89</v>
      </c>
      <c r="D178" s="138"/>
      <c r="E178" s="138"/>
      <c r="F178" s="138"/>
      <c r="G178" s="197"/>
      <c r="H178" s="203"/>
      <c r="I178" s="129"/>
      <c r="J178" s="203"/>
      <c r="K178" s="204">
        <v>500000</v>
      </c>
    </row>
    <row r="179" spans="1:11" s="131" customFormat="1" ht="12.75">
      <c r="A179" s="90"/>
      <c r="B179" s="172">
        <f aca="true" t="shared" si="1" ref="B179:B190">+B178+1</f>
        <v>3</v>
      </c>
      <c r="C179" s="173" t="s">
        <v>90</v>
      </c>
      <c r="D179" s="173"/>
      <c r="E179" s="173"/>
      <c r="F179" s="173"/>
      <c r="G179" s="185"/>
      <c r="H179" s="93"/>
      <c r="I179" s="186"/>
      <c r="J179" s="93"/>
      <c r="K179" s="58"/>
    </row>
    <row r="180" spans="1:11" s="131" customFormat="1" ht="12.75">
      <c r="A180" s="90"/>
      <c r="B180" s="137">
        <f t="shared" si="1"/>
        <v>4</v>
      </c>
      <c r="C180" s="138" t="s">
        <v>91</v>
      </c>
      <c r="D180" s="138"/>
      <c r="E180" s="138"/>
      <c r="F180" s="138"/>
      <c r="G180" s="197"/>
      <c r="H180" s="203"/>
      <c r="I180" s="129"/>
      <c r="J180" s="203"/>
      <c r="K180" s="204"/>
    </row>
    <row r="181" spans="1:11" s="131" customFormat="1" ht="12.75">
      <c r="A181" s="90"/>
      <c r="B181" s="172">
        <f t="shared" si="1"/>
        <v>5</v>
      </c>
      <c r="C181" s="173" t="s">
        <v>373</v>
      </c>
      <c r="D181" s="173"/>
      <c r="E181" s="173"/>
      <c r="F181" s="173"/>
      <c r="G181" s="185"/>
      <c r="H181" s="93"/>
      <c r="I181" s="186"/>
      <c r="J181" s="93"/>
      <c r="K181" s="58"/>
    </row>
    <row r="182" spans="1:11" s="131" customFormat="1" ht="12.75">
      <c r="A182" s="90"/>
      <c r="B182" s="137">
        <f t="shared" si="1"/>
        <v>6</v>
      </c>
      <c r="C182" s="138" t="s">
        <v>92</v>
      </c>
      <c r="D182" s="138"/>
      <c r="E182" s="138"/>
      <c r="F182" s="138"/>
      <c r="G182" s="197"/>
      <c r="H182" s="203"/>
      <c r="I182" s="129"/>
      <c r="J182" s="203"/>
      <c r="K182" s="205">
        <f>K148</f>
        <v>3000000</v>
      </c>
    </row>
    <row r="183" spans="1:11" s="131" customFormat="1" ht="12.75">
      <c r="A183" s="90"/>
      <c r="B183" s="172">
        <f t="shared" si="1"/>
        <v>7</v>
      </c>
      <c r="C183" s="173" t="s">
        <v>93</v>
      </c>
      <c r="D183" s="173"/>
      <c r="E183" s="173"/>
      <c r="F183" s="173"/>
      <c r="G183" s="185"/>
      <c r="H183" s="93"/>
      <c r="I183" s="186"/>
      <c r="J183" s="93"/>
      <c r="K183" s="58">
        <v>10000000</v>
      </c>
    </row>
    <row r="184" spans="1:11" s="131" customFormat="1" ht="12.75">
      <c r="A184" s="90"/>
      <c r="B184" s="137">
        <f t="shared" si="1"/>
        <v>8</v>
      </c>
      <c r="C184" s="138" t="s">
        <v>94</v>
      </c>
      <c r="D184" s="138"/>
      <c r="E184" s="138"/>
      <c r="F184" s="138"/>
      <c r="G184" s="197"/>
      <c r="H184" s="203"/>
      <c r="I184" s="129"/>
      <c r="J184" s="203"/>
      <c r="K184" s="205">
        <v>30000000</v>
      </c>
    </row>
    <row r="185" spans="1:11" s="131" customFormat="1" ht="12.75">
      <c r="A185" s="90"/>
      <c r="B185" s="172">
        <f t="shared" si="1"/>
        <v>9</v>
      </c>
      <c r="C185" s="173" t="s">
        <v>95</v>
      </c>
      <c r="D185" s="173"/>
      <c r="E185" s="173"/>
      <c r="F185" s="173"/>
      <c r="G185" s="185"/>
      <c r="H185" s="93"/>
      <c r="I185" s="186"/>
      <c r="J185" s="93"/>
      <c r="K185" s="58">
        <v>5000000</v>
      </c>
    </row>
    <row r="186" spans="1:11" s="131" customFormat="1" ht="12.75">
      <c r="A186" s="90"/>
      <c r="B186" s="137">
        <f t="shared" si="1"/>
        <v>10</v>
      </c>
      <c r="C186" s="138" t="s">
        <v>96</v>
      </c>
      <c r="D186" s="138"/>
      <c r="E186" s="138"/>
      <c r="F186" s="138"/>
      <c r="G186" s="197"/>
      <c r="H186" s="203"/>
      <c r="I186" s="129"/>
      <c r="J186" s="203"/>
      <c r="K186" s="204"/>
    </row>
    <row r="187" spans="1:11" s="131" customFormat="1" ht="12.75">
      <c r="A187" s="90"/>
      <c r="B187" s="172">
        <f t="shared" si="1"/>
        <v>11</v>
      </c>
      <c r="C187" s="173" t="s">
        <v>97</v>
      </c>
      <c r="D187" s="173"/>
      <c r="E187" s="173"/>
      <c r="F187" s="173"/>
      <c r="G187" s="185"/>
      <c r="H187" s="93"/>
      <c r="I187" s="186"/>
      <c r="J187" s="93"/>
      <c r="K187" s="58"/>
    </row>
    <row r="188" spans="1:11" s="131" customFormat="1" ht="12.75">
      <c r="A188" s="90"/>
      <c r="B188" s="137">
        <f t="shared" si="1"/>
        <v>12</v>
      </c>
      <c r="C188" s="138" t="s">
        <v>98</v>
      </c>
      <c r="D188" s="138"/>
      <c r="E188" s="138"/>
      <c r="F188" s="138"/>
      <c r="G188" s="197"/>
      <c r="H188" s="203"/>
      <c r="I188" s="129"/>
      <c r="J188" s="203"/>
      <c r="K188" s="204"/>
    </row>
    <row r="189" spans="1:11" s="131" customFormat="1" ht="12.75">
      <c r="A189" s="90"/>
      <c r="B189" s="172">
        <f t="shared" si="1"/>
        <v>13</v>
      </c>
      <c r="C189" s="173" t="s">
        <v>99</v>
      </c>
      <c r="D189" s="173"/>
      <c r="E189" s="173"/>
      <c r="F189" s="173"/>
      <c r="G189" s="185"/>
      <c r="H189" s="93"/>
      <c r="I189" s="186"/>
      <c r="J189" s="93"/>
      <c r="K189" s="206"/>
    </row>
    <row r="190" spans="1:11" s="131" customFormat="1" ht="12.75">
      <c r="A190" s="90"/>
      <c r="B190" s="160">
        <f t="shared" si="1"/>
        <v>14</v>
      </c>
      <c r="C190" s="207"/>
      <c r="D190" s="207"/>
      <c r="E190" s="207"/>
      <c r="F190" s="207"/>
      <c r="G190" s="198"/>
      <c r="H190" s="208"/>
      <c r="I190" s="177"/>
      <c r="J190" s="208"/>
      <c r="K190" s="178"/>
    </row>
    <row r="191" spans="1:11" s="131" customFormat="1" ht="13.5" thickBo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34"/>
    </row>
    <row r="192" spans="1:11" s="131" customFormat="1" ht="13.5" thickBot="1">
      <c r="A192" s="90"/>
      <c r="B192" s="90"/>
      <c r="C192" s="90"/>
      <c r="D192" s="15" t="s">
        <v>279</v>
      </c>
      <c r="E192" s="90"/>
      <c r="F192" s="90"/>
      <c r="G192" s="90"/>
      <c r="H192" s="90"/>
      <c r="I192" s="90"/>
      <c r="J192" s="90"/>
      <c r="K192" s="182">
        <f>SUM(K177:K190)</f>
        <v>48500000</v>
      </c>
    </row>
    <row r="193" spans="1:11" s="131" customFormat="1" ht="13.5" thickBot="1">
      <c r="A193" s="90"/>
      <c r="B193" s="90"/>
      <c r="C193" s="90"/>
      <c r="D193" s="15"/>
      <c r="E193" s="90"/>
      <c r="F193" s="90"/>
      <c r="G193" s="90"/>
      <c r="H193" s="90"/>
      <c r="I193" s="90"/>
      <c r="J193" s="90"/>
      <c r="K193" s="18"/>
    </row>
    <row r="194" spans="1:11" s="131" customFormat="1" ht="18.75" thickBot="1">
      <c r="A194" s="294" t="s">
        <v>58</v>
      </c>
      <c r="B194" s="132"/>
      <c r="C194" s="132"/>
      <c r="D194" s="132"/>
      <c r="E194" s="133"/>
      <c r="F194" s="138"/>
      <c r="G194" s="90"/>
      <c r="H194" s="90"/>
      <c r="I194" s="90"/>
      <c r="J194" s="90"/>
      <c r="K194" s="90"/>
    </row>
    <row r="195" spans="1:11" s="131" customFormat="1" ht="12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1" s="296" customFormat="1" ht="12.75">
      <c r="A196" s="15" t="s">
        <v>59</v>
      </c>
      <c r="B196" s="15" t="s">
        <v>60</v>
      </c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s="131" customFormat="1" ht="12.75">
      <c r="A197" s="90"/>
      <c r="B197" s="90">
        <v>1</v>
      </c>
      <c r="C197" s="90" t="s">
        <v>61</v>
      </c>
      <c r="D197" s="90"/>
      <c r="E197" s="90"/>
      <c r="F197" s="90"/>
      <c r="G197" s="194" t="str">
        <f>G63</f>
        <v>Pelayanan Kesehatan Gigi &amp; Umum</v>
      </c>
      <c r="H197" s="195"/>
      <c r="I197" s="195"/>
      <c r="J197" s="195"/>
      <c r="K197" s="196"/>
    </row>
    <row r="198" spans="1:11" s="131" customFormat="1" ht="13.5" thickBot="1">
      <c r="A198" s="90"/>
      <c r="B198" s="90"/>
      <c r="C198" s="90" t="s">
        <v>66</v>
      </c>
      <c r="D198" s="90"/>
      <c r="E198" s="90"/>
      <c r="F198" s="90"/>
      <c r="G198" s="209"/>
      <c r="H198" s="210"/>
      <c r="I198" s="210"/>
      <c r="J198" s="210"/>
      <c r="K198" s="211"/>
    </row>
    <row r="199" spans="1:11" s="131" customFormat="1" ht="13.5" thickTop="1">
      <c r="A199" s="90"/>
      <c r="B199" s="90">
        <v>2</v>
      </c>
      <c r="C199" s="90" t="s">
        <v>62</v>
      </c>
      <c r="D199" s="90"/>
      <c r="E199" s="90"/>
      <c r="F199" s="90"/>
      <c r="G199" s="197" t="str">
        <f>G64</f>
        <v>Harga Murah &amp; Layanan Konsultasi Gratis - Discount Khusus Kader PKS</v>
      </c>
      <c r="H199" s="129"/>
      <c r="I199" s="129"/>
      <c r="J199" s="129"/>
      <c r="K199" s="142"/>
    </row>
    <row r="200" spans="1:11" s="131" customFormat="1" ht="13.5" thickBot="1">
      <c r="A200" s="90"/>
      <c r="B200" s="90"/>
      <c r="C200" s="90" t="s">
        <v>63</v>
      </c>
      <c r="D200" s="90"/>
      <c r="E200" s="90"/>
      <c r="F200" s="90"/>
      <c r="G200" s="209"/>
      <c r="H200" s="210"/>
      <c r="I200" s="210"/>
      <c r="J200" s="210"/>
      <c r="K200" s="211"/>
    </row>
    <row r="201" spans="1:11" s="131" customFormat="1" ht="13.5" thickTop="1">
      <c r="A201" s="90"/>
      <c r="B201" s="90">
        <v>3</v>
      </c>
      <c r="C201" s="90" t="s">
        <v>13</v>
      </c>
      <c r="D201" s="90"/>
      <c r="E201" s="90"/>
      <c r="F201" s="90"/>
      <c r="G201" s="197" t="str">
        <f>G65</f>
        <v>Umum, perumahan, klien bisnis</v>
      </c>
      <c r="H201" s="129"/>
      <c r="I201" s="129"/>
      <c r="J201" s="129"/>
      <c r="K201" s="142"/>
    </row>
    <row r="202" spans="1:11" s="131" customFormat="1" ht="13.5" thickBot="1">
      <c r="A202" s="90"/>
      <c r="B202" s="90"/>
      <c r="C202" s="90" t="s">
        <v>65</v>
      </c>
      <c r="D202" s="90"/>
      <c r="E202" s="90"/>
      <c r="F202" s="90"/>
      <c r="G202" s="209"/>
      <c r="H202" s="210"/>
      <c r="I202" s="210"/>
      <c r="J202" s="210"/>
      <c r="K202" s="211"/>
    </row>
    <row r="203" spans="1:11" s="131" customFormat="1" ht="13.5" thickTop="1">
      <c r="A203" s="90"/>
      <c r="B203" s="90">
        <v>4</v>
      </c>
      <c r="C203" s="90" t="s">
        <v>14</v>
      </c>
      <c r="D203" s="90"/>
      <c r="E203" s="90"/>
      <c r="F203" s="90"/>
      <c r="G203" s="197" t="str">
        <f>G66</f>
        <v>Kb. Jeruk Jakbar sekitarnya</v>
      </c>
      <c r="H203" s="129"/>
      <c r="I203" s="129"/>
      <c r="J203" s="129"/>
      <c r="K203" s="142"/>
    </row>
    <row r="204" spans="1:11" s="131" customFormat="1" ht="13.5" thickBot="1">
      <c r="A204" s="90"/>
      <c r="B204" s="90"/>
      <c r="C204" s="90" t="s">
        <v>64</v>
      </c>
      <c r="D204" s="90"/>
      <c r="E204" s="90"/>
      <c r="F204" s="90"/>
      <c r="G204" s="209"/>
      <c r="H204" s="210"/>
      <c r="I204" s="210"/>
      <c r="J204" s="210"/>
      <c r="K204" s="211"/>
    </row>
    <row r="205" spans="1:11" s="131" customFormat="1" ht="13.5" thickTop="1">
      <c r="A205" s="90"/>
      <c r="B205" s="90"/>
      <c r="C205" s="90"/>
      <c r="D205" s="90"/>
      <c r="E205" s="90"/>
      <c r="F205" s="90"/>
      <c r="G205" s="138"/>
      <c r="H205" s="138"/>
      <c r="I205" s="138"/>
      <c r="J205" s="138"/>
      <c r="K205" s="138"/>
    </row>
    <row r="206" spans="1:11" s="296" customFormat="1" ht="12.75">
      <c r="A206" s="15" t="s">
        <v>9</v>
      </c>
      <c r="B206" s="15" t="s">
        <v>324</v>
      </c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s="131" customFormat="1" ht="12.75">
      <c r="A207" s="90"/>
      <c r="B207" s="90" t="s">
        <v>323</v>
      </c>
      <c r="C207" s="90"/>
      <c r="D207" s="138"/>
      <c r="E207" s="90"/>
      <c r="F207" s="90"/>
      <c r="G207" s="90"/>
      <c r="H207" s="90"/>
      <c r="I207" s="90"/>
      <c r="J207" s="90"/>
      <c r="K207" s="90"/>
    </row>
    <row r="208" spans="1:11" s="131" customFormat="1" ht="12.75">
      <c r="A208" s="90"/>
      <c r="B208" s="172">
        <v>1</v>
      </c>
      <c r="C208" s="172" t="s">
        <v>313</v>
      </c>
      <c r="D208" s="173"/>
      <c r="E208" s="127"/>
      <c r="F208" s="212" t="str">
        <f>G203</f>
        <v>Kb. Jeruk Jakbar sekitarnya</v>
      </c>
      <c r="G208" s="212"/>
      <c r="H208" s="212"/>
      <c r="I208" s="212"/>
      <c r="J208" s="212"/>
      <c r="K208" s="213"/>
    </row>
    <row r="209" spans="1:11" s="131" customFormat="1" ht="12.75">
      <c r="A209" s="90"/>
      <c r="B209" s="172">
        <v>2</v>
      </c>
      <c r="C209" s="172" t="s">
        <v>326</v>
      </c>
      <c r="D209" s="173"/>
      <c r="E209" s="127"/>
      <c r="F209" s="212" t="s">
        <v>379</v>
      </c>
      <c r="G209" s="212"/>
      <c r="H209" s="212"/>
      <c r="I209" s="212"/>
      <c r="J209" s="212"/>
      <c r="K209" s="213"/>
    </row>
    <row r="210" spans="1:11" s="131" customFormat="1" ht="12.75">
      <c r="A210" s="90"/>
      <c r="B210" s="172">
        <v>3</v>
      </c>
      <c r="C210" s="172" t="s">
        <v>327</v>
      </c>
      <c r="D210" s="173"/>
      <c r="E210" s="127"/>
      <c r="F210" s="212" t="s">
        <v>390</v>
      </c>
      <c r="G210" s="212"/>
      <c r="H210" s="212"/>
      <c r="I210" s="212"/>
      <c r="J210" s="212"/>
      <c r="K210" s="213"/>
    </row>
    <row r="211" spans="1:11" s="131" customFormat="1" ht="12.75">
      <c r="A211" s="90"/>
      <c r="B211" s="172">
        <v>4</v>
      </c>
      <c r="C211" s="172" t="s">
        <v>328</v>
      </c>
      <c r="D211" s="173"/>
      <c r="E211" s="127"/>
      <c r="F211" s="212" t="s">
        <v>380</v>
      </c>
      <c r="G211" s="212"/>
      <c r="H211" s="212"/>
      <c r="I211" s="212"/>
      <c r="J211" s="212"/>
      <c r="K211" s="213"/>
    </row>
    <row r="212" spans="1:11" s="131" customFormat="1" ht="12.75">
      <c r="A212" s="90"/>
      <c r="B212" s="172">
        <v>5</v>
      </c>
      <c r="C212" s="172" t="s">
        <v>329</v>
      </c>
      <c r="D212" s="173"/>
      <c r="E212" s="127"/>
      <c r="F212" s="212" t="s">
        <v>381</v>
      </c>
      <c r="G212" s="212"/>
      <c r="H212" s="212"/>
      <c r="I212" s="212"/>
      <c r="J212" s="212"/>
      <c r="K212" s="213"/>
    </row>
    <row r="213" spans="1:11" s="131" customFormat="1" ht="12.75">
      <c r="A213" s="90"/>
      <c r="B213" s="172">
        <v>6</v>
      </c>
      <c r="C213" s="172" t="s">
        <v>349</v>
      </c>
      <c r="D213" s="173"/>
      <c r="E213" s="127"/>
      <c r="F213" s="212" t="s">
        <v>445</v>
      </c>
      <c r="G213" s="212"/>
      <c r="H213" s="212"/>
      <c r="I213" s="212"/>
      <c r="J213" s="212"/>
      <c r="K213" s="317">
        <f>20*20000*30</f>
        <v>12000000</v>
      </c>
    </row>
    <row r="214" spans="1:11" s="131" customFormat="1" ht="13.5" thickBot="1">
      <c r="A214" s="90"/>
      <c r="B214" s="172">
        <v>7</v>
      </c>
      <c r="C214" s="172" t="s">
        <v>360</v>
      </c>
      <c r="D214" s="173"/>
      <c r="E214" s="127"/>
      <c r="F214" s="173"/>
      <c r="G214" s="173"/>
      <c r="H214" s="173"/>
      <c r="I214" s="173"/>
      <c r="J214" s="173"/>
      <c r="K214" s="318">
        <f>K213*12</f>
        <v>144000000</v>
      </c>
    </row>
    <row r="215" spans="1:11" s="131" customFormat="1" ht="13.5" thickTop="1">
      <c r="A215" s="90"/>
      <c r="B215" s="90"/>
      <c r="C215" s="90"/>
      <c r="D215" s="138"/>
      <c r="E215" s="90"/>
      <c r="F215" s="90"/>
      <c r="G215" s="90"/>
      <c r="H215" s="90"/>
      <c r="I215" s="90"/>
      <c r="J215" s="90"/>
      <c r="K215" s="90"/>
    </row>
    <row r="216" spans="1:11" s="296" customFormat="1" ht="12.75">
      <c r="A216" s="15" t="s">
        <v>16</v>
      </c>
      <c r="B216" s="15" t="s">
        <v>330</v>
      </c>
      <c r="C216" s="15"/>
      <c r="D216" s="297"/>
      <c r="E216" s="15"/>
      <c r="F216" s="15"/>
      <c r="G216" s="15"/>
      <c r="H216" s="15"/>
      <c r="I216" s="15"/>
      <c r="J216" s="15"/>
      <c r="K216" s="15"/>
    </row>
    <row r="217" spans="1:11" s="131" customFormat="1" ht="12.75">
      <c r="A217" s="90"/>
      <c r="B217" s="90">
        <v>1</v>
      </c>
      <c r="C217" s="90" t="s">
        <v>331</v>
      </c>
      <c r="D217" s="138"/>
      <c r="E217" s="90"/>
      <c r="F217" s="90"/>
      <c r="G217" s="90"/>
      <c r="H217" s="90"/>
      <c r="I217" s="90"/>
      <c r="J217" s="90"/>
      <c r="K217" s="90"/>
    </row>
    <row r="218" spans="1:11" s="131" customFormat="1" ht="12.75">
      <c r="A218" s="90"/>
      <c r="B218" s="214"/>
      <c r="C218" s="212"/>
      <c r="D218" s="212"/>
      <c r="E218" s="212"/>
      <c r="F218" s="212"/>
      <c r="G218" s="212"/>
      <c r="H218" s="212"/>
      <c r="I218" s="212"/>
      <c r="J218" s="212"/>
      <c r="K218" s="213"/>
    </row>
    <row r="219" spans="1:11" s="131" customFormat="1" ht="12.75">
      <c r="A219" s="90"/>
      <c r="B219" s="214"/>
      <c r="C219" s="212"/>
      <c r="D219" s="212"/>
      <c r="E219" s="212"/>
      <c r="F219" s="212"/>
      <c r="G219" s="212"/>
      <c r="H219" s="212"/>
      <c r="I219" s="212"/>
      <c r="J219" s="212"/>
      <c r="K219" s="213"/>
    </row>
    <row r="220" spans="1:11" s="131" customFormat="1" ht="12.75">
      <c r="A220" s="90"/>
      <c r="B220" s="214"/>
      <c r="C220" s="212"/>
      <c r="D220" s="212"/>
      <c r="E220" s="212"/>
      <c r="F220" s="212"/>
      <c r="G220" s="212"/>
      <c r="H220" s="212"/>
      <c r="I220" s="212"/>
      <c r="J220" s="212"/>
      <c r="K220" s="213"/>
    </row>
    <row r="221" spans="1:11" s="131" customFormat="1" ht="12.75">
      <c r="A221" s="90"/>
      <c r="B221" s="214"/>
      <c r="C221" s="212"/>
      <c r="D221" s="212"/>
      <c r="E221" s="212"/>
      <c r="F221" s="212"/>
      <c r="G221" s="212"/>
      <c r="H221" s="212"/>
      <c r="I221" s="212"/>
      <c r="J221" s="212"/>
      <c r="K221" s="213"/>
    </row>
    <row r="222" spans="1:11" s="131" customFormat="1" ht="12.75">
      <c r="A222" s="90"/>
      <c r="B222" s="214"/>
      <c r="C222" s="212"/>
      <c r="D222" s="212"/>
      <c r="E222" s="212"/>
      <c r="F222" s="212"/>
      <c r="G222" s="212"/>
      <c r="H222" s="212"/>
      <c r="I222" s="212"/>
      <c r="J222" s="212"/>
      <c r="K222" s="213"/>
    </row>
    <row r="223" spans="1:11" s="131" customFormat="1" ht="12.75">
      <c r="A223" s="90"/>
      <c r="B223" s="90"/>
      <c r="C223" s="90"/>
      <c r="D223" s="138"/>
      <c r="E223" s="90"/>
      <c r="F223" s="90"/>
      <c r="G223" s="90"/>
      <c r="H223" s="90"/>
      <c r="I223" s="90"/>
      <c r="J223" s="90"/>
      <c r="K223" s="90"/>
    </row>
    <row r="224" spans="1:11" s="131" customFormat="1" ht="12.75">
      <c r="A224" s="90"/>
      <c r="B224" s="90">
        <v>2</v>
      </c>
      <c r="C224" s="90" t="s">
        <v>70</v>
      </c>
      <c r="D224" s="138"/>
      <c r="E224" s="90"/>
      <c r="F224" s="90"/>
      <c r="G224" s="90"/>
      <c r="H224" s="90"/>
      <c r="I224" s="90"/>
      <c r="J224" s="90"/>
      <c r="K224" s="90"/>
    </row>
    <row r="225" spans="1:11" s="131" customFormat="1" ht="12.75">
      <c r="A225" s="90"/>
      <c r="B225" s="200" t="s">
        <v>52</v>
      </c>
      <c r="C225" s="370" t="s">
        <v>110</v>
      </c>
      <c r="D225" s="372"/>
      <c r="E225" s="370" t="s">
        <v>332</v>
      </c>
      <c r="F225" s="372"/>
      <c r="G225" s="370" t="s">
        <v>339</v>
      </c>
      <c r="H225" s="371"/>
      <c r="I225" s="135"/>
      <c r="J225" s="215"/>
      <c r="K225" s="169" t="s">
        <v>333</v>
      </c>
    </row>
    <row r="226" spans="1:11" s="131" customFormat="1" ht="12.75">
      <c r="A226" s="90"/>
      <c r="B226" s="183"/>
      <c r="C226" s="161"/>
      <c r="D226" s="161"/>
      <c r="E226" s="160"/>
      <c r="F226" s="163"/>
      <c r="G226" s="161"/>
      <c r="H226" s="161"/>
      <c r="I226" s="161"/>
      <c r="J226" s="216"/>
      <c r="K226" s="183"/>
    </row>
    <row r="227" spans="1:11" s="131" customFormat="1" ht="12.75">
      <c r="A227" s="90"/>
      <c r="B227" s="217" t="s">
        <v>325</v>
      </c>
      <c r="C227" s="212" t="s">
        <v>391</v>
      </c>
      <c r="D227" s="212"/>
      <c r="E227" s="214"/>
      <c r="F227" s="213"/>
      <c r="G227" s="212" t="s">
        <v>427</v>
      </c>
      <c r="H227" s="212"/>
      <c r="I227" s="212"/>
      <c r="J227" s="212"/>
      <c r="K227" s="218">
        <f>20*30000*30</f>
        <v>18000000</v>
      </c>
    </row>
    <row r="228" spans="1:11" s="131" customFormat="1" ht="12.75">
      <c r="A228" s="90"/>
      <c r="B228" s="217" t="s">
        <v>334</v>
      </c>
      <c r="C228" s="212" t="s">
        <v>392</v>
      </c>
      <c r="D228" s="212"/>
      <c r="E228" s="214"/>
      <c r="F228" s="213"/>
      <c r="G228" s="212" t="s">
        <v>425</v>
      </c>
      <c r="H228" s="212"/>
      <c r="I228" s="212"/>
      <c r="J228" s="212"/>
      <c r="K228" s="218">
        <f>40000*10*30</f>
        <v>12000000</v>
      </c>
    </row>
    <row r="229" spans="1:11" s="131" customFormat="1" ht="12.75">
      <c r="A229" s="90"/>
      <c r="B229" s="217" t="s">
        <v>335</v>
      </c>
      <c r="C229" s="212" t="s">
        <v>393</v>
      </c>
      <c r="D229" s="212"/>
      <c r="E229" s="214"/>
      <c r="F229" s="213"/>
      <c r="G229" s="212" t="s">
        <v>426</v>
      </c>
      <c r="H229" s="212"/>
      <c r="I229" s="212"/>
      <c r="J229" s="212"/>
      <c r="K229" s="218">
        <f>40000*8*30</f>
        <v>9600000</v>
      </c>
    </row>
    <row r="230" spans="1:11" s="131" customFormat="1" ht="12.75">
      <c r="A230" s="90"/>
      <c r="B230" s="217" t="s">
        <v>336</v>
      </c>
      <c r="C230" s="212"/>
      <c r="D230" s="212"/>
      <c r="E230" s="214"/>
      <c r="F230" s="213"/>
      <c r="G230" s="212"/>
      <c r="H230" s="212"/>
      <c r="I230" s="212"/>
      <c r="J230" s="212"/>
      <c r="K230" s="218"/>
    </row>
    <row r="231" spans="1:11" s="131" customFormat="1" ht="12.75">
      <c r="A231" s="90"/>
      <c r="B231" s="217" t="s">
        <v>337</v>
      </c>
      <c r="C231" s="212"/>
      <c r="D231" s="212"/>
      <c r="E231" s="214"/>
      <c r="F231" s="213"/>
      <c r="G231" s="212"/>
      <c r="H231" s="212"/>
      <c r="I231" s="212"/>
      <c r="J231" s="212"/>
      <c r="K231" s="218"/>
    </row>
    <row r="232" spans="1:11" s="131" customFormat="1" ht="12.75">
      <c r="A232" s="90"/>
      <c r="B232" s="90"/>
      <c r="C232" s="90"/>
      <c r="D232" s="138"/>
      <c r="E232" s="90"/>
      <c r="F232" s="90"/>
      <c r="G232" s="90"/>
      <c r="H232" s="15" t="s">
        <v>338</v>
      </c>
      <c r="I232" s="90"/>
      <c r="J232" s="90"/>
      <c r="K232" s="183">
        <f>SUM(K227:K231)</f>
        <v>39600000</v>
      </c>
    </row>
    <row r="233" spans="1:11" s="131" customFormat="1" ht="12.75">
      <c r="A233" s="90"/>
      <c r="B233" s="90"/>
      <c r="C233" s="90"/>
      <c r="D233" s="138"/>
      <c r="E233" s="90"/>
      <c r="F233" s="90"/>
      <c r="G233" s="138"/>
      <c r="H233" s="138"/>
      <c r="I233" s="138"/>
      <c r="J233" s="138"/>
      <c r="K233" s="138"/>
    </row>
    <row r="234" spans="1:11" s="131" customFormat="1" ht="13.5" thickBot="1">
      <c r="A234" s="90"/>
      <c r="B234" s="32"/>
      <c r="C234" s="29"/>
      <c r="D234" s="29"/>
      <c r="E234" s="29"/>
      <c r="F234" s="29"/>
      <c r="G234" s="30"/>
      <c r="H234" s="28" t="s">
        <v>358</v>
      </c>
      <c r="I234" s="29"/>
      <c r="J234" s="29"/>
      <c r="K234" s="55">
        <f>K232*12</f>
        <v>475200000</v>
      </c>
    </row>
    <row r="235" spans="1:11" s="131" customFormat="1" ht="13.5" thickTop="1">
      <c r="A235" s="90"/>
      <c r="B235" s="32"/>
      <c r="C235" s="29"/>
      <c r="D235" s="29"/>
      <c r="E235" s="29"/>
      <c r="F235" s="29"/>
      <c r="G235" s="30"/>
      <c r="H235" s="28"/>
      <c r="I235" s="29"/>
      <c r="J235" s="29"/>
      <c r="K235" s="31"/>
    </row>
    <row r="236" spans="1:11" s="296" customFormat="1" ht="12.75">
      <c r="A236" s="15" t="s">
        <v>20</v>
      </c>
      <c r="B236" s="28" t="s">
        <v>359</v>
      </c>
      <c r="C236" s="28"/>
      <c r="D236" s="28"/>
      <c r="E236" s="28"/>
      <c r="F236" s="28"/>
      <c r="G236" s="298"/>
      <c r="H236" s="28"/>
      <c r="I236" s="28"/>
      <c r="J236" s="28"/>
      <c r="K236" s="299"/>
    </row>
    <row r="237" spans="1:11" s="131" customFormat="1" ht="12.75">
      <c r="A237" s="90"/>
      <c r="B237" s="59"/>
      <c r="C237" s="219"/>
      <c r="D237" s="219"/>
      <c r="E237" s="219"/>
      <c r="F237" s="219"/>
      <c r="G237" s="219"/>
      <c r="H237" s="60"/>
      <c r="I237" s="219"/>
      <c r="J237" s="219"/>
      <c r="K237" s="61"/>
    </row>
    <row r="238" spans="1:11" s="131" customFormat="1" ht="12.75">
      <c r="A238" s="90"/>
      <c r="B238" s="59"/>
      <c r="C238" s="219"/>
      <c r="D238" s="219" t="s">
        <v>432</v>
      </c>
      <c r="E238" s="219"/>
      <c r="F238" s="219"/>
      <c r="G238" s="219"/>
      <c r="H238" s="60"/>
      <c r="I238" s="219"/>
      <c r="J238" s="219"/>
      <c r="K238" s="61"/>
    </row>
    <row r="239" spans="1:11" s="131" customFormat="1" ht="12.75">
      <c r="A239" s="90"/>
      <c r="B239" s="59"/>
      <c r="C239" s="219"/>
      <c r="D239" s="219"/>
      <c r="E239" s="219"/>
      <c r="F239" s="219"/>
      <c r="G239" s="219"/>
      <c r="H239" s="60"/>
      <c r="I239" s="219"/>
      <c r="J239" s="219"/>
      <c r="K239" s="61"/>
    </row>
    <row r="240" spans="1:11" s="131" customFormat="1" ht="12.75">
      <c r="A240" s="90"/>
      <c r="B240" s="59"/>
      <c r="C240" s="219"/>
      <c r="D240" s="219"/>
      <c r="E240" s="219"/>
      <c r="F240" s="219"/>
      <c r="G240" s="219"/>
      <c r="H240" s="60"/>
      <c r="I240" s="219"/>
      <c r="J240" s="219"/>
      <c r="K240" s="61"/>
    </row>
    <row r="241" spans="1:11" s="131" customFormat="1" ht="12.75">
      <c r="A241" s="90"/>
      <c r="B241" s="38"/>
      <c r="C241" s="38"/>
      <c r="D241" s="38"/>
      <c r="E241" s="38"/>
      <c r="F241" s="38"/>
      <c r="G241" s="56" t="s">
        <v>362</v>
      </c>
      <c r="H241" s="56"/>
      <c r="I241" s="38"/>
      <c r="J241" s="38"/>
      <c r="K241" s="339">
        <f>K213</f>
        <v>12000000</v>
      </c>
    </row>
    <row r="242" spans="1:11" s="131" customFormat="1" ht="12.75">
      <c r="A242" s="90"/>
      <c r="B242" s="29"/>
      <c r="C242" s="29"/>
      <c r="D242" s="29"/>
      <c r="E242" s="29"/>
      <c r="F242" s="29"/>
      <c r="G242" s="30"/>
      <c r="H242" s="28"/>
      <c r="I242" s="29"/>
      <c r="J242" s="29"/>
      <c r="K242" s="31"/>
    </row>
    <row r="243" spans="1:11" s="131" customFormat="1" ht="13.5" thickBot="1">
      <c r="A243" s="90"/>
      <c r="B243" s="32"/>
      <c r="C243" s="29"/>
      <c r="D243" s="29"/>
      <c r="E243" s="288"/>
      <c r="F243" s="29"/>
      <c r="G243" s="28" t="s">
        <v>361</v>
      </c>
      <c r="H243" s="28"/>
      <c r="I243" s="29"/>
      <c r="J243" s="29"/>
      <c r="K243" s="55">
        <f>K241*12</f>
        <v>144000000</v>
      </c>
    </row>
    <row r="244" spans="1:11" s="131" customFormat="1" ht="13.5" thickTop="1">
      <c r="A244" s="90"/>
      <c r="B244" s="32"/>
      <c r="C244" s="29"/>
      <c r="D244" s="29"/>
      <c r="E244" s="288"/>
      <c r="F244" s="29"/>
      <c r="G244" s="28"/>
      <c r="H244" s="28"/>
      <c r="I244" s="29"/>
      <c r="J244" s="29"/>
      <c r="K244" s="31"/>
    </row>
    <row r="245" spans="1:11" s="296" customFormat="1" ht="12.75">
      <c r="A245" s="15" t="s">
        <v>84</v>
      </c>
      <c r="B245" s="28" t="s">
        <v>340</v>
      </c>
      <c r="C245" s="28"/>
      <c r="D245" s="28"/>
      <c r="E245" s="28"/>
      <c r="F245" s="28"/>
      <c r="G245" s="298"/>
      <c r="H245" s="28"/>
      <c r="I245" s="28"/>
      <c r="J245" s="28"/>
      <c r="K245" s="299"/>
    </row>
    <row r="246" spans="1:11" s="131" customFormat="1" ht="12.75">
      <c r="A246" s="90"/>
      <c r="B246" s="29">
        <v>1</v>
      </c>
      <c r="C246" s="29" t="s">
        <v>350</v>
      </c>
      <c r="D246" s="29"/>
      <c r="E246" s="29"/>
      <c r="F246" s="29"/>
      <c r="G246" s="30"/>
      <c r="H246" s="28"/>
      <c r="I246" s="29"/>
      <c r="J246" s="29"/>
      <c r="K246" s="31"/>
    </row>
    <row r="247" spans="1:11" s="131" customFormat="1" ht="12.75">
      <c r="A247" s="90"/>
      <c r="B247" s="37" t="s">
        <v>68</v>
      </c>
      <c r="C247" s="51"/>
      <c r="D247" s="368" t="s">
        <v>341</v>
      </c>
      <c r="E247" s="369"/>
      <c r="F247" s="68" t="s">
        <v>347</v>
      </c>
      <c r="G247" s="69" t="s">
        <v>346</v>
      </c>
      <c r="H247" s="68" t="s">
        <v>345</v>
      </c>
      <c r="I247" s="285" t="s">
        <v>342</v>
      </c>
      <c r="J247" s="39"/>
      <c r="K247" s="220"/>
    </row>
    <row r="248" spans="1:11" s="131" customFormat="1" ht="12.75">
      <c r="A248" s="90"/>
      <c r="B248" s="40"/>
      <c r="C248" s="52"/>
      <c r="D248" s="70" t="s">
        <v>59</v>
      </c>
      <c r="E248" s="71"/>
      <c r="F248" s="47" t="s">
        <v>9</v>
      </c>
      <c r="G248" s="36" t="s">
        <v>348</v>
      </c>
      <c r="H248" s="47" t="s">
        <v>20</v>
      </c>
      <c r="I248" s="366" t="s">
        <v>368</v>
      </c>
      <c r="J248" s="286" t="s">
        <v>343</v>
      </c>
      <c r="K248" s="221"/>
    </row>
    <row r="249" spans="1:11" s="131" customFormat="1" ht="12.75">
      <c r="A249" s="90"/>
      <c r="B249" s="41"/>
      <c r="C249" s="53"/>
      <c r="D249" s="72"/>
      <c r="E249" s="73"/>
      <c r="F249" s="49"/>
      <c r="G249" s="42"/>
      <c r="H249" s="48"/>
      <c r="I249" s="367"/>
      <c r="J249" s="287" t="s">
        <v>344</v>
      </c>
      <c r="K249" s="43"/>
    </row>
    <row r="250" spans="1:11" s="131" customFormat="1" ht="12.75">
      <c r="A250" s="90"/>
      <c r="B250" s="364">
        <v>1</v>
      </c>
      <c r="C250" s="365"/>
      <c r="D250" s="44">
        <f>K214</f>
        <v>144000000</v>
      </c>
      <c r="E250" s="44"/>
      <c r="F250" s="50">
        <f>K234</f>
        <v>475200000</v>
      </c>
      <c r="G250" s="45">
        <f>D250-F250</f>
        <v>-331200000</v>
      </c>
      <c r="H250" s="50">
        <f>K243</f>
        <v>144000000</v>
      </c>
      <c r="I250" s="57">
        <f>H250/(F250+H250)</f>
        <v>0.23255813953488372</v>
      </c>
      <c r="J250" s="44"/>
      <c r="K250" s="46"/>
    </row>
    <row r="251" spans="1:11" s="131" customFormat="1" ht="12.75">
      <c r="A251" s="90"/>
      <c r="B251" s="364">
        <v>2</v>
      </c>
      <c r="C251" s="365"/>
      <c r="D251" s="44">
        <f>D250*($J$256+1)</f>
        <v>151200000</v>
      </c>
      <c r="E251" s="44"/>
      <c r="F251" s="50">
        <f>F250*($J$257+1)</f>
        <v>489456000</v>
      </c>
      <c r="G251" s="45">
        <f>D251-F251</f>
        <v>-338256000</v>
      </c>
      <c r="H251" s="50">
        <f>H250*($J$258+1)</f>
        <v>148320000</v>
      </c>
      <c r="I251" s="57">
        <f>H251/(F251+H251)</f>
        <v>0.23255813953488372</v>
      </c>
      <c r="J251" s="44"/>
      <c r="K251" s="46"/>
    </row>
    <row r="252" spans="1:11" s="131" customFormat="1" ht="12.75">
      <c r="A252" s="90"/>
      <c r="B252" s="364">
        <v>3</v>
      </c>
      <c r="C252" s="365"/>
      <c r="D252" s="44">
        <f>D251*($J$256+1)</f>
        <v>158760000</v>
      </c>
      <c r="E252" s="44"/>
      <c r="F252" s="50">
        <f>F251*($J$257+1)</f>
        <v>504139680</v>
      </c>
      <c r="G252" s="45">
        <f>D252-F252</f>
        <v>-345379680</v>
      </c>
      <c r="H252" s="50">
        <f>H251*($J$258+1)</f>
        <v>152769600</v>
      </c>
      <c r="I252" s="57">
        <f>H252/(F252+H252)</f>
        <v>0.23255813953488372</v>
      </c>
      <c r="J252" s="44"/>
      <c r="K252" s="46"/>
    </row>
    <row r="253" spans="1:11" s="131" customFormat="1" ht="12.75">
      <c r="A253" s="90"/>
      <c r="B253" s="364">
        <v>4</v>
      </c>
      <c r="C253" s="365"/>
      <c r="D253" s="44">
        <f>D252*($J$256+1)</f>
        <v>166698000</v>
      </c>
      <c r="E253" s="44"/>
      <c r="F253" s="50">
        <f>F252*($J$257+1)</f>
        <v>519263870.40000004</v>
      </c>
      <c r="G253" s="45">
        <f>D253-F253</f>
        <v>-352565870.40000004</v>
      </c>
      <c r="H253" s="50">
        <f>H252*($J$258+1)</f>
        <v>157352688</v>
      </c>
      <c r="I253" s="57">
        <f>H253/(F253+H253)</f>
        <v>0.2325581395348837</v>
      </c>
      <c r="J253" s="44"/>
      <c r="K253" s="46"/>
    </row>
    <row r="254" spans="1:11" s="131" customFormat="1" ht="12.75">
      <c r="A254" s="90"/>
      <c r="B254" s="364">
        <v>5</v>
      </c>
      <c r="C254" s="365"/>
      <c r="D254" s="44">
        <f>D253*($J$256+1)</f>
        <v>175032900</v>
      </c>
      <c r="E254" s="44"/>
      <c r="F254" s="50">
        <f>F253*($J$257+1)</f>
        <v>534841786.512</v>
      </c>
      <c r="G254" s="45">
        <f>D254-F254</f>
        <v>-359808886.512</v>
      </c>
      <c r="H254" s="50">
        <f>H253*($J$258+1)</f>
        <v>162073268.64000002</v>
      </c>
      <c r="I254" s="57">
        <f>H254/(F254+H254)</f>
        <v>0.23255813953488372</v>
      </c>
      <c r="J254" s="44"/>
      <c r="K254" s="46"/>
    </row>
    <row r="255" spans="1:11" s="131" customFormat="1" ht="12.75">
      <c r="A255" s="90"/>
      <c r="B255" s="32">
        <v>2</v>
      </c>
      <c r="C255" s="29" t="s">
        <v>351</v>
      </c>
      <c r="D255" s="29"/>
      <c r="E255" s="29"/>
      <c r="F255" s="29"/>
      <c r="G255" s="30"/>
      <c r="H255" s="28"/>
      <c r="I255" s="29"/>
      <c r="J255" s="29"/>
      <c r="K255" s="31"/>
    </row>
    <row r="256" spans="1:11" s="131" customFormat="1" ht="12.75">
      <c r="A256" s="90"/>
      <c r="B256" s="32"/>
      <c r="C256" s="35" t="s">
        <v>355</v>
      </c>
      <c r="D256" s="29" t="s">
        <v>353</v>
      </c>
      <c r="E256" s="29"/>
      <c r="F256" s="29"/>
      <c r="G256" s="30"/>
      <c r="H256" s="28"/>
      <c r="I256" s="29"/>
      <c r="J256" s="54">
        <v>0.05</v>
      </c>
      <c r="K256" s="31"/>
    </row>
    <row r="257" spans="1:11" s="131" customFormat="1" ht="12.75">
      <c r="A257" s="90"/>
      <c r="B257" s="32"/>
      <c r="C257" s="35" t="s">
        <v>356</v>
      </c>
      <c r="D257" s="29" t="s">
        <v>352</v>
      </c>
      <c r="E257" s="29"/>
      <c r="F257" s="29"/>
      <c r="G257" s="30"/>
      <c r="H257" s="28"/>
      <c r="I257" s="29"/>
      <c r="J257" s="54">
        <v>0.03</v>
      </c>
      <c r="K257" s="31"/>
    </row>
    <row r="258" spans="1:11" s="131" customFormat="1" ht="12.75">
      <c r="A258" s="90"/>
      <c r="B258" s="32"/>
      <c r="C258" s="35" t="s">
        <v>357</v>
      </c>
      <c r="D258" s="29" t="s">
        <v>354</v>
      </c>
      <c r="E258" s="29"/>
      <c r="F258" s="29"/>
      <c r="G258" s="30"/>
      <c r="H258" s="28"/>
      <c r="I258" s="29"/>
      <c r="J258" s="74">
        <v>0.03</v>
      </c>
      <c r="K258" s="31"/>
    </row>
    <row r="259" spans="1:11" s="131" customFormat="1" ht="12.75">
      <c r="A259" s="222"/>
      <c r="B259" s="33"/>
      <c r="C259" s="33"/>
      <c r="D259" s="33"/>
      <c r="E259" s="33"/>
      <c r="F259" s="33"/>
      <c r="G259" s="30"/>
      <c r="H259" s="30"/>
      <c r="I259" s="30"/>
      <c r="J259" s="30"/>
      <c r="K259" s="34"/>
    </row>
    <row r="260" spans="1:11" s="296" customFormat="1" ht="12.75">
      <c r="A260" s="300" t="s">
        <v>85</v>
      </c>
      <c r="B260" s="300" t="s">
        <v>69</v>
      </c>
      <c r="C260" s="300"/>
      <c r="D260" s="300"/>
      <c r="E260" s="300"/>
      <c r="F260" s="300"/>
      <c r="G260" s="300"/>
      <c r="H260" s="300"/>
      <c r="I260" s="300"/>
      <c r="J260" s="300"/>
      <c r="K260" s="15"/>
    </row>
    <row r="261" spans="1:11" s="131" customFormat="1" ht="12.75">
      <c r="A261" s="90"/>
      <c r="B261" s="90">
        <v>1</v>
      </c>
      <c r="C261" s="90" t="s">
        <v>70</v>
      </c>
      <c r="D261" s="90"/>
      <c r="E261" s="90"/>
      <c r="F261" s="90"/>
      <c r="G261" s="90"/>
      <c r="H261" s="90"/>
      <c r="I261" s="90"/>
      <c r="J261" s="90"/>
      <c r="K261" s="90"/>
    </row>
    <row r="262" spans="1:11" s="131" customFormat="1" ht="12.75">
      <c r="A262" s="90"/>
      <c r="B262" s="90"/>
      <c r="C262" s="172" t="s">
        <v>52</v>
      </c>
      <c r="D262" s="172" t="s">
        <v>71</v>
      </c>
      <c r="E262" s="173"/>
      <c r="F262" s="172" t="s">
        <v>72</v>
      </c>
      <c r="G262" s="173"/>
      <c r="H262" s="173"/>
      <c r="I262" s="173"/>
      <c r="J262" s="173"/>
      <c r="K262" s="127"/>
    </row>
    <row r="263" spans="1:11" s="131" customFormat="1" ht="12.75">
      <c r="A263" s="90"/>
      <c r="B263" s="90"/>
      <c r="C263" s="185"/>
      <c r="D263" s="185" t="str">
        <f>C227</f>
        <v>Klinik Setia Rumanda</v>
      </c>
      <c r="E263" s="186"/>
      <c r="F263" s="185" t="s">
        <v>433</v>
      </c>
      <c r="G263" s="186"/>
      <c r="H263" s="186"/>
      <c r="I263" s="186"/>
      <c r="J263" s="186"/>
      <c r="K263" s="223"/>
    </row>
    <row r="264" spans="1:11" s="131" customFormat="1" ht="12.75">
      <c r="A264" s="90"/>
      <c r="B264" s="90"/>
      <c r="C264" s="185"/>
      <c r="D264" s="185" t="str">
        <f>C228</f>
        <v>Praktek Dokter Harmon</v>
      </c>
      <c r="E264" s="186"/>
      <c r="F264" s="185" t="s">
        <v>434</v>
      </c>
      <c r="G264" s="186"/>
      <c r="H264" s="186"/>
      <c r="I264" s="186"/>
      <c r="J264" s="186"/>
      <c r="K264" s="223"/>
    </row>
    <row r="265" spans="1:11" s="131" customFormat="1" ht="12.75">
      <c r="A265" s="90"/>
      <c r="B265" s="90"/>
      <c r="C265" s="185"/>
      <c r="D265" s="185" t="str">
        <f>C229</f>
        <v>Praktek Dokter Harun</v>
      </c>
      <c r="E265" s="186"/>
      <c r="F265" s="185" t="s">
        <v>434</v>
      </c>
      <c r="G265" s="186"/>
      <c r="H265" s="186"/>
      <c r="I265" s="186"/>
      <c r="J265" s="186"/>
      <c r="K265" s="223"/>
    </row>
    <row r="266" spans="1:11" s="131" customFormat="1" ht="12.75">
      <c r="A266" s="90"/>
      <c r="B266" s="90"/>
      <c r="C266" s="198"/>
      <c r="D266" s="198"/>
      <c r="E266" s="177"/>
      <c r="F266" s="198"/>
      <c r="G266" s="177"/>
      <c r="H266" s="177"/>
      <c r="I266" s="177"/>
      <c r="J266" s="177"/>
      <c r="K266" s="199"/>
    </row>
    <row r="267" spans="1:11" s="131" customFormat="1" ht="12.75">
      <c r="A267" s="90"/>
      <c r="B267" s="90">
        <v>2</v>
      </c>
      <c r="C267" s="90" t="s">
        <v>73</v>
      </c>
      <c r="D267" s="90"/>
      <c r="E267" s="90"/>
      <c r="F267" s="90"/>
      <c r="G267" s="90"/>
      <c r="H267" s="90"/>
      <c r="I267" s="90"/>
      <c r="J267" s="90"/>
      <c r="K267" s="90"/>
    </row>
    <row r="268" spans="1:11" s="131" customFormat="1" ht="12.75">
      <c r="A268" s="90"/>
      <c r="B268" s="90"/>
      <c r="C268" s="172" t="s">
        <v>74</v>
      </c>
      <c r="D268" s="173"/>
      <c r="E268" s="173"/>
      <c r="F268" s="172"/>
      <c r="G268" s="173" t="s">
        <v>73</v>
      </c>
      <c r="H268" s="173"/>
      <c r="I268" s="173"/>
      <c r="J268" s="173"/>
      <c r="K268" s="127"/>
    </row>
    <row r="269" spans="1:11" s="131" customFormat="1" ht="12.75">
      <c r="A269" s="90"/>
      <c r="B269" s="90"/>
      <c r="C269" s="137" t="s">
        <v>75</v>
      </c>
      <c r="D269" s="138"/>
      <c r="E269" s="138"/>
      <c r="F269" s="194"/>
      <c r="G269" s="129"/>
      <c r="H269" s="129"/>
      <c r="I269" s="129"/>
      <c r="J269" s="129"/>
      <c r="K269" s="142"/>
    </row>
    <row r="270" spans="1:11" s="131" customFormat="1" ht="12.75">
      <c r="A270" s="90"/>
      <c r="B270" s="90"/>
      <c r="C270" s="137"/>
      <c r="D270" s="138"/>
      <c r="E270" s="138"/>
      <c r="F270" s="342" t="str">
        <f>G197</f>
        <v>Pelayanan Kesehatan Gigi &amp; Umum</v>
      </c>
      <c r="G270" s="333"/>
      <c r="H270" s="129"/>
      <c r="I270" s="129"/>
      <c r="J270" s="129"/>
      <c r="K270" s="142"/>
    </row>
    <row r="271" spans="1:11" s="131" customFormat="1" ht="12.75">
      <c r="A271" s="90"/>
      <c r="B271" s="90"/>
      <c r="C271" s="160"/>
      <c r="D271" s="161"/>
      <c r="E271" s="161"/>
      <c r="F271" s="198"/>
      <c r="G271" s="177"/>
      <c r="H271" s="177"/>
      <c r="I271" s="177"/>
      <c r="J271" s="177"/>
      <c r="K271" s="199"/>
    </row>
    <row r="272" spans="1:11" s="131" customFormat="1" ht="12.75">
      <c r="A272" s="90"/>
      <c r="B272" s="90"/>
      <c r="C272" s="137" t="s">
        <v>76</v>
      </c>
      <c r="D272" s="138"/>
      <c r="E272" s="138"/>
      <c r="F272" s="197" t="s">
        <v>394</v>
      </c>
      <c r="G272" s="129"/>
      <c r="H272" s="129"/>
      <c r="I272" s="129"/>
      <c r="J272" s="129"/>
      <c r="K272" s="142"/>
    </row>
    <row r="273" spans="1:11" s="131" customFormat="1" ht="12.75">
      <c r="A273" s="90"/>
      <c r="B273" s="90"/>
      <c r="C273" s="160"/>
      <c r="D273" s="161"/>
      <c r="E273" s="161"/>
      <c r="F273" s="198"/>
      <c r="G273" s="177"/>
      <c r="H273" s="177"/>
      <c r="I273" s="177"/>
      <c r="J273" s="177"/>
      <c r="K273" s="199"/>
    </row>
    <row r="274" spans="1:11" s="131" customFormat="1" ht="12.75">
      <c r="A274" s="90"/>
      <c r="B274" s="90"/>
      <c r="C274" s="137" t="s">
        <v>77</v>
      </c>
      <c r="D274" s="138"/>
      <c r="E274" s="138"/>
      <c r="F274" s="197" t="s">
        <v>371</v>
      </c>
      <c r="G274" s="129"/>
      <c r="H274" s="129"/>
      <c r="I274" s="129"/>
      <c r="J274" s="129"/>
      <c r="K274" s="142"/>
    </row>
    <row r="275" spans="1:11" s="131" customFormat="1" ht="12.75">
      <c r="A275" s="90"/>
      <c r="B275" s="90"/>
      <c r="C275" s="137" t="s">
        <v>78</v>
      </c>
      <c r="D275" s="138"/>
      <c r="E275" s="138"/>
      <c r="F275" s="197"/>
      <c r="G275" s="129"/>
      <c r="H275" s="129"/>
      <c r="I275" s="129"/>
      <c r="J275" s="129"/>
      <c r="K275" s="142"/>
    </row>
    <row r="276" spans="1:11" s="131" customFormat="1" ht="12.75">
      <c r="A276" s="90"/>
      <c r="B276" s="90"/>
      <c r="C276" s="160" t="s">
        <v>79</v>
      </c>
      <c r="D276" s="161"/>
      <c r="E276" s="161"/>
      <c r="F276" s="198"/>
      <c r="G276" s="177"/>
      <c r="H276" s="207" t="s">
        <v>82</v>
      </c>
      <c r="I276" s="207"/>
      <c r="J276" s="242"/>
      <c r="K276" s="58"/>
    </row>
    <row r="277" spans="1:11" s="131" customFormat="1" ht="12.75">
      <c r="A277" s="90"/>
      <c r="B277" s="90"/>
      <c r="C277" s="137" t="s">
        <v>369</v>
      </c>
      <c r="D277" s="138"/>
      <c r="E277" s="138"/>
      <c r="F277" s="197" t="s">
        <v>374</v>
      </c>
      <c r="G277" s="129"/>
      <c r="H277" s="129"/>
      <c r="I277" s="129"/>
      <c r="J277" s="129"/>
      <c r="K277" s="224">
        <v>1000000</v>
      </c>
    </row>
    <row r="278" spans="1:11" s="131" customFormat="1" ht="12.75">
      <c r="A278" s="90"/>
      <c r="B278" s="90"/>
      <c r="C278" s="137"/>
      <c r="D278" s="138"/>
      <c r="E278" s="138"/>
      <c r="F278" s="197" t="s">
        <v>370</v>
      </c>
      <c r="G278" s="129"/>
      <c r="H278" s="129"/>
      <c r="I278" s="129"/>
      <c r="J278" s="129"/>
      <c r="K278" s="224">
        <v>0</v>
      </c>
    </row>
    <row r="279" spans="1:11" s="131" customFormat="1" ht="13.5" thickBot="1">
      <c r="A279" s="90"/>
      <c r="B279" s="90"/>
      <c r="C279" s="160" t="s">
        <v>80</v>
      </c>
      <c r="D279" s="161"/>
      <c r="E279" s="161"/>
      <c r="F279" s="198"/>
      <c r="G279" s="177"/>
      <c r="H279" s="207" t="s">
        <v>81</v>
      </c>
      <c r="I279" s="207"/>
      <c r="J279" s="207"/>
      <c r="K279" s="340">
        <v>500000</v>
      </c>
    </row>
    <row r="280" spans="1:11" s="131" customFormat="1" ht="14.25" thickBot="1" thickTop="1">
      <c r="A280" s="90"/>
      <c r="B280" s="90"/>
      <c r="C280" s="90"/>
      <c r="D280" s="90"/>
      <c r="E280" s="90"/>
      <c r="F280" s="172" t="s">
        <v>317</v>
      </c>
      <c r="G280" s="173"/>
      <c r="H280" s="173"/>
      <c r="I280" s="173"/>
      <c r="J280" s="173"/>
      <c r="K280" s="181">
        <f>+K276+K279</f>
        <v>500000</v>
      </c>
    </row>
    <row r="281" spans="1:11" s="131" customFormat="1" ht="14.25" thickBot="1" thickTop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34"/>
    </row>
    <row r="282" spans="1:11" s="131" customFormat="1" ht="13.5" thickBot="1">
      <c r="A282" s="90"/>
      <c r="B282" s="90"/>
      <c r="C282" s="90"/>
      <c r="D282" s="15" t="s">
        <v>83</v>
      </c>
      <c r="E282" s="90"/>
      <c r="F282" s="90"/>
      <c r="G282" s="90"/>
      <c r="H282" s="90"/>
      <c r="I282" s="90"/>
      <c r="J282" s="90"/>
      <c r="K282" s="182">
        <f>12*K280</f>
        <v>6000000</v>
      </c>
    </row>
    <row r="283" spans="1:11" s="131" customFormat="1" ht="13.5" thickBo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s="131" customFormat="1" ht="18.75" thickBot="1">
      <c r="A284" s="294" t="s">
        <v>101</v>
      </c>
      <c r="B284" s="132"/>
      <c r="C284" s="132"/>
      <c r="D284" s="132"/>
      <c r="E284" s="133"/>
      <c r="F284" s="90"/>
      <c r="G284" s="90"/>
      <c r="H284" s="90"/>
      <c r="I284" s="90"/>
      <c r="J284" s="90"/>
      <c r="K284" s="90"/>
    </row>
    <row r="285" spans="1:11" s="131" customFormat="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s="131" customFormat="1" ht="12.75">
      <c r="A286" s="90"/>
      <c r="B286" s="90" t="s">
        <v>102</v>
      </c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s="131" customFormat="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s="131" customFormat="1" ht="12.75">
      <c r="A288" s="90"/>
      <c r="B288" s="134" t="s">
        <v>52</v>
      </c>
      <c r="C288" s="134" t="s">
        <v>110</v>
      </c>
      <c r="D288" s="135"/>
      <c r="E288" s="135"/>
      <c r="F288" s="135"/>
      <c r="G288" s="135"/>
      <c r="H288" s="169" t="s">
        <v>384</v>
      </c>
      <c r="I288" s="167" t="s">
        <v>38</v>
      </c>
      <c r="J288" s="169" t="s">
        <v>247</v>
      </c>
      <c r="K288" s="168" t="s">
        <v>246</v>
      </c>
    </row>
    <row r="289" spans="1:11" s="131" customFormat="1" ht="12.75">
      <c r="A289" s="90"/>
      <c r="B289" s="137"/>
      <c r="C289" s="137"/>
      <c r="D289" s="138"/>
      <c r="E289" s="138"/>
      <c r="F289" s="138"/>
      <c r="G289" s="138"/>
      <c r="H289" s="170"/>
      <c r="I289" s="225" t="s">
        <v>250</v>
      </c>
      <c r="J289" s="170" t="s">
        <v>248</v>
      </c>
      <c r="K289" s="226" t="s">
        <v>239</v>
      </c>
    </row>
    <row r="290" spans="1:11" s="131" customFormat="1" ht="12.75">
      <c r="A290" s="90"/>
      <c r="B290" s="160"/>
      <c r="C290" s="160"/>
      <c r="D290" s="161"/>
      <c r="E290" s="161"/>
      <c r="F290" s="161"/>
      <c r="G290" s="161"/>
      <c r="H290" s="184" t="s">
        <v>249</v>
      </c>
      <c r="I290" s="202"/>
      <c r="J290" s="184" t="s">
        <v>239</v>
      </c>
      <c r="K290" s="227"/>
    </row>
    <row r="291" spans="1:11" s="131" customFormat="1" ht="12.75">
      <c r="A291" s="90"/>
      <c r="B291" s="172" t="s">
        <v>59</v>
      </c>
      <c r="C291" s="172" t="s">
        <v>103</v>
      </c>
      <c r="D291" s="173"/>
      <c r="E291" s="173"/>
      <c r="F291" s="173"/>
      <c r="G291" s="173"/>
      <c r="H291" s="228" t="s">
        <v>244</v>
      </c>
      <c r="I291" s="229" t="s">
        <v>244</v>
      </c>
      <c r="J291" s="230" t="s">
        <v>244</v>
      </c>
      <c r="K291" s="231" t="s">
        <v>244</v>
      </c>
    </row>
    <row r="292" spans="1:11" s="131" customFormat="1" ht="12.75">
      <c r="A292" s="90"/>
      <c r="B292" s="172">
        <v>1</v>
      </c>
      <c r="C292" s="185"/>
      <c r="D292" s="186"/>
      <c r="E292" s="186"/>
      <c r="F292" s="186"/>
      <c r="G292" s="186"/>
      <c r="H292" s="93"/>
      <c r="I292" s="175"/>
      <c r="J292" s="58"/>
      <c r="K292" s="125">
        <f>+I292*J292</f>
        <v>0</v>
      </c>
    </row>
    <row r="293" spans="1:11" s="131" customFormat="1" ht="12.75">
      <c r="A293" s="90"/>
      <c r="B293" s="172">
        <v>2</v>
      </c>
      <c r="C293" s="185"/>
      <c r="D293" s="186"/>
      <c r="E293" s="186"/>
      <c r="F293" s="186"/>
      <c r="G293" s="186"/>
      <c r="H293" s="93"/>
      <c r="I293" s="175"/>
      <c r="J293" s="58"/>
      <c r="K293" s="125">
        <f>+I293*J293</f>
        <v>0</v>
      </c>
    </row>
    <row r="294" spans="1:11" s="131" customFormat="1" ht="13.5" thickBot="1">
      <c r="A294" s="90"/>
      <c r="B294" s="172">
        <v>3</v>
      </c>
      <c r="C294" s="185"/>
      <c r="D294" s="186"/>
      <c r="E294" s="186"/>
      <c r="F294" s="186"/>
      <c r="G294" s="186"/>
      <c r="H294" s="93"/>
      <c r="I294" s="175"/>
      <c r="J294" s="58"/>
      <c r="K294" s="125">
        <f>+I294*J294</f>
        <v>0</v>
      </c>
    </row>
    <row r="295" spans="1:11" s="131" customFormat="1" ht="13.5" thickBot="1">
      <c r="A295" s="90"/>
      <c r="B295" s="232"/>
      <c r="C295" s="232"/>
      <c r="D295" s="233"/>
      <c r="E295" s="233"/>
      <c r="F295" s="233"/>
      <c r="G295" s="233"/>
      <c r="H295" s="234"/>
      <c r="I295" s="233"/>
      <c r="J295" s="17" t="s">
        <v>38</v>
      </c>
      <c r="K295" s="182">
        <f>SUM(K292:K294)</f>
        <v>0</v>
      </c>
    </row>
    <row r="296" spans="1:11" s="131" customFormat="1" ht="12.75">
      <c r="A296" s="90"/>
      <c r="B296" s="172" t="s">
        <v>9</v>
      </c>
      <c r="C296" s="172" t="s">
        <v>104</v>
      </c>
      <c r="D296" s="173"/>
      <c r="E296" s="173"/>
      <c r="F296" s="173"/>
      <c r="G296" s="173"/>
      <c r="H296" s="234"/>
      <c r="I296" s="233"/>
      <c r="J296" s="234"/>
      <c r="K296" s="106"/>
    </row>
    <row r="297" spans="1:11" s="131" customFormat="1" ht="12.75">
      <c r="A297" s="90"/>
      <c r="B297" s="172">
        <v>1</v>
      </c>
      <c r="C297" s="185" t="s">
        <v>435</v>
      </c>
      <c r="D297" s="186"/>
      <c r="E297" s="186"/>
      <c r="F297" s="186"/>
      <c r="G297" s="186"/>
      <c r="H297" s="58"/>
      <c r="I297" s="175"/>
      <c r="J297" s="58"/>
      <c r="K297" s="125">
        <f>+I297*J297</f>
        <v>0</v>
      </c>
    </row>
    <row r="298" spans="1:11" s="131" customFormat="1" ht="12.75">
      <c r="A298" s="90"/>
      <c r="B298" s="172">
        <v>2</v>
      </c>
      <c r="C298" s="185"/>
      <c r="D298" s="186"/>
      <c r="E298" s="186"/>
      <c r="F298" s="186"/>
      <c r="G298" s="186"/>
      <c r="H298" s="58"/>
      <c r="I298" s="175"/>
      <c r="J298" s="58"/>
      <c r="K298" s="125"/>
    </row>
    <row r="299" spans="1:11" s="131" customFormat="1" ht="13.5" thickBot="1">
      <c r="A299" s="90"/>
      <c r="B299" s="172">
        <v>3</v>
      </c>
      <c r="C299" s="185"/>
      <c r="D299" s="186"/>
      <c r="E299" s="186"/>
      <c r="F299" s="186"/>
      <c r="G299" s="186"/>
      <c r="H299" s="58"/>
      <c r="I299" s="175"/>
      <c r="J299" s="58"/>
      <c r="K299" s="125">
        <f>+I299*J299</f>
        <v>0</v>
      </c>
    </row>
    <row r="300" spans="1:11" s="131" customFormat="1" ht="13.5" thickBot="1">
      <c r="A300" s="90"/>
      <c r="B300" s="232"/>
      <c r="C300" s="232"/>
      <c r="D300" s="233"/>
      <c r="E300" s="233"/>
      <c r="F300" s="233"/>
      <c r="G300" s="233"/>
      <c r="H300" s="234"/>
      <c r="I300" s="233"/>
      <c r="J300" s="17" t="s">
        <v>38</v>
      </c>
      <c r="K300" s="182">
        <f>SUM(K297:K299)</f>
        <v>0</v>
      </c>
    </row>
    <row r="301" spans="1:11" s="131" customFormat="1" ht="12.75">
      <c r="A301" s="90"/>
      <c r="B301" s="172" t="s">
        <v>16</v>
      </c>
      <c r="C301" s="172" t="s">
        <v>105</v>
      </c>
      <c r="D301" s="173"/>
      <c r="E301" s="173"/>
      <c r="F301" s="173"/>
      <c r="G301" s="173"/>
      <c r="H301" s="234"/>
      <c r="I301" s="233"/>
      <c r="J301" s="234"/>
      <c r="K301" s="106"/>
    </row>
    <row r="302" spans="1:11" s="131" customFormat="1" ht="12.75">
      <c r="A302" s="90"/>
      <c r="B302" s="160">
        <v>1</v>
      </c>
      <c r="C302" s="198" t="s">
        <v>395</v>
      </c>
      <c r="D302" s="177"/>
      <c r="E302" s="177"/>
      <c r="F302" s="177"/>
      <c r="G302" s="177"/>
      <c r="H302" s="178"/>
      <c r="I302" s="235">
        <v>1</v>
      </c>
      <c r="J302" s="282">
        <v>20000000</v>
      </c>
      <c r="K302" s="125">
        <f aca="true" t="shared" si="2" ref="K302:K326">+I302*J302</f>
        <v>20000000</v>
      </c>
    </row>
    <row r="303" spans="1:11" s="131" customFormat="1" ht="12.75">
      <c r="A303" s="90"/>
      <c r="B303" s="172">
        <v>2</v>
      </c>
      <c r="C303" s="344" t="s">
        <v>415</v>
      </c>
      <c r="D303" s="186"/>
      <c r="E303" s="186"/>
      <c r="F303" s="186"/>
      <c r="G303" s="186"/>
      <c r="H303" s="58"/>
      <c r="I303" s="175">
        <v>1</v>
      </c>
      <c r="J303" s="341">
        <v>230000</v>
      </c>
      <c r="K303" s="125">
        <f t="shared" si="2"/>
        <v>230000</v>
      </c>
    </row>
    <row r="304" spans="1:11" s="131" customFormat="1" ht="12.75">
      <c r="A304" s="90"/>
      <c r="B304" s="172">
        <f>B303+1</f>
        <v>3</v>
      </c>
      <c r="C304" s="344" t="s">
        <v>416</v>
      </c>
      <c r="D304" s="186"/>
      <c r="E304" s="186"/>
      <c r="F304" s="186"/>
      <c r="G304" s="186"/>
      <c r="H304" s="58"/>
      <c r="I304" s="175">
        <v>1</v>
      </c>
      <c r="J304" s="341">
        <v>780000</v>
      </c>
      <c r="K304" s="125">
        <f t="shared" si="2"/>
        <v>780000</v>
      </c>
    </row>
    <row r="305" spans="1:11" s="131" customFormat="1" ht="12.75">
      <c r="A305" s="90"/>
      <c r="B305" s="172">
        <f aca="true" t="shared" si="3" ref="B305:B326">B304+1</f>
        <v>4</v>
      </c>
      <c r="C305" s="344" t="s">
        <v>417</v>
      </c>
      <c r="D305" s="186"/>
      <c r="E305" s="186"/>
      <c r="F305" s="186"/>
      <c r="G305" s="186"/>
      <c r="H305" s="58"/>
      <c r="I305" s="175">
        <v>3</v>
      </c>
      <c r="J305" s="341">
        <v>15000</v>
      </c>
      <c r="K305" s="125">
        <f t="shared" si="2"/>
        <v>45000</v>
      </c>
    </row>
    <row r="306" spans="1:11" s="131" customFormat="1" ht="12.75">
      <c r="A306" s="90"/>
      <c r="B306" s="172">
        <f t="shared" si="3"/>
        <v>5</v>
      </c>
      <c r="C306" s="344" t="s">
        <v>418</v>
      </c>
      <c r="D306" s="186"/>
      <c r="E306" s="186"/>
      <c r="F306" s="186"/>
      <c r="G306" s="186"/>
      <c r="H306" s="58"/>
      <c r="I306" s="175">
        <v>1</v>
      </c>
      <c r="J306" s="341">
        <v>10000</v>
      </c>
      <c r="K306" s="125">
        <f t="shared" si="2"/>
        <v>10000</v>
      </c>
    </row>
    <row r="307" spans="1:11" s="131" customFormat="1" ht="12.75">
      <c r="A307" s="90"/>
      <c r="B307" s="172">
        <f t="shared" si="3"/>
        <v>6</v>
      </c>
      <c r="C307" s="344" t="s">
        <v>419</v>
      </c>
      <c r="D307" s="186"/>
      <c r="E307" s="186"/>
      <c r="F307" s="186"/>
      <c r="G307" s="186"/>
      <c r="H307" s="58"/>
      <c r="I307" s="175">
        <v>1</v>
      </c>
      <c r="J307" s="341">
        <v>50000</v>
      </c>
      <c r="K307" s="125">
        <f t="shared" si="2"/>
        <v>50000</v>
      </c>
    </row>
    <row r="308" spans="1:11" s="131" customFormat="1" ht="12.75">
      <c r="A308" s="90"/>
      <c r="B308" s="172">
        <f t="shared" si="3"/>
        <v>7</v>
      </c>
      <c r="C308" s="344" t="s">
        <v>396</v>
      </c>
      <c r="D308" s="186"/>
      <c r="E308" s="186"/>
      <c r="F308" s="186"/>
      <c r="G308" s="186"/>
      <c r="H308" s="58"/>
      <c r="I308" s="175">
        <v>1</v>
      </c>
      <c r="J308" s="341">
        <v>30000</v>
      </c>
      <c r="K308" s="125">
        <f t="shared" si="2"/>
        <v>30000</v>
      </c>
    </row>
    <row r="309" spans="1:11" s="131" customFormat="1" ht="12.75">
      <c r="A309" s="90"/>
      <c r="B309" s="172">
        <f t="shared" si="3"/>
        <v>8</v>
      </c>
      <c r="C309" s="344" t="s">
        <v>397</v>
      </c>
      <c r="D309" s="186"/>
      <c r="E309" s="186"/>
      <c r="F309" s="186"/>
      <c r="G309" s="186"/>
      <c r="H309" s="58"/>
      <c r="I309" s="175">
        <v>1</v>
      </c>
      <c r="J309" s="341">
        <v>300000</v>
      </c>
      <c r="K309" s="125">
        <f t="shared" si="2"/>
        <v>300000</v>
      </c>
    </row>
    <row r="310" spans="1:11" s="131" customFormat="1" ht="12.75">
      <c r="A310" s="90"/>
      <c r="B310" s="172">
        <f t="shared" si="3"/>
        <v>9</v>
      </c>
      <c r="C310" s="344" t="s">
        <v>398</v>
      </c>
      <c r="D310" s="186"/>
      <c r="E310" s="186"/>
      <c r="F310" s="186"/>
      <c r="G310" s="186"/>
      <c r="H310" s="58"/>
      <c r="I310" s="175">
        <v>1</v>
      </c>
      <c r="J310" s="341">
        <v>290000</v>
      </c>
      <c r="K310" s="125">
        <f t="shared" si="2"/>
        <v>290000</v>
      </c>
    </row>
    <row r="311" spans="1:11" s="131" customFormat="1" ht="12.75">
      <c r="A311" s="90"/>
      <c r="B311" s="172">
        <f t="shared" si="3"/>
        <v>10</v>
      </c>
      <c r="C311" s="344" t="s">
        <v>399</v>
      </c>
      <c r="D311" s="186"/>
      <c r="E311" s="186"/>
      <c r="F311" s="186"/>
      <c r="G311" s="186"/>
      <c r="H311" s="58"/>
      <c r="I311" s="175">
        <v>1</v>
      </c>
      <c r="J311" s="341">
        <v>900000</v>
      </c>
      <c r="K311" s="125">
        <f t="shared" si="2"/>
        <v>900000</v>
      </c>
    </row>
    <row r="312" spans="1:11" s="131" customFormat="1" ht="12.75">
      <c r="A312" s="90"/>
      <c r="B312" s="172">
        <f t="shared" si="3"/>
        <v>11</v>
      </c>
      <c r="C312" s="344" t="s">
        <v>400</v>
      </c>
      <c r="D312" s="186"/>
      <c r="E312" s="186"/>
      <c r="F312" s="186"/>
      <c r="G312" s="186"/>
      <c r="H312" s="58"/>
      <c r="I312" s="175">
        <v>1</v>
      </c>
      <c r="J312" s="341">
        <v>250000</v>
      </c>
      <c r="K312" s="125">
        <f t="shared" si="2"/>
        <v>250000</v>
      </c>
    </row>
    <row r="313" spans="1:11" s="131" customFormat="1" ht="12.75">
      <c r="A313" s="90"/>
      <c r="B313" s="172">
        <f t="shared" si="3"/>
        <v>12</v>
      </c>
      <c r="C313" s="344" t="s">
        <v>401</v>
      </c>
      <c r="D313" s="186"/>
      <c r="E313" s="186"/>
      <c r="F313" s="186"/>
      <c r="G313" s="186"/>
      <c r="H313" s="58"/>
      <c r="I313" s="175">
        <v>1</v>
      </c>
      <c r="J313" s="341">
        <v>50000</v>
      </c>
      <c r="K313" s="125">
        <f t="shared" si="2"/>
        <v>50000</v>
      </c>
    </row>
    <row r="314" spans="1:11" s="131" customFormat="1" ht="12.75">
      <c r="A314" s="90"/>
      <c r="B314" s="172">
        <f t="shared" si="3"/>
        <v>13</v>
      </c>
      <c r="C314" s="344" t="s">
        <v>402</v>
      </c>
      <c r="D314" s="186"/>
      <c r="E314" s="186"/>
      <c r="F314" s="186"/>
      <c r="G314" s="186"/>
      <c r="H314" s="58"/>
      <c r="I314" s="175">
        <v>1</v>
      </c>
      <c r="J314" s="341">
        <v>25000</v>
      </c>
      <c r="K314" s="125">
        <f t="shared" si="2"/>
        <v>25000</v>
      </c>
    </row>
    <row r="315" spans="1:11" s="131" customFormat="1" ht="12.75">
      <c r="A315" s="90"/>
      <c r="B315" s="172">
        <f t="shared" si="3"/>
        <v>14</v>
      </c>
      <c r="C315" s="344" t="s">
        <v>403</v>
      </c>
      <c r="D315" s="186"/>
      <c r="E315" s="186"/>
      <c r="F315" s="186"/>
      <c r="G315" s="186"/>
      <c r="H315" s="58"/>
      <c r="I315" s="175">
        <v>1</v>
      </c>
      <c r="J315" s="341">
        <v>315000</v>
      </c>
      <c r="K315" s="125">
        <f t="shared" si="2"/>
        <v>315000</v>
      </c>
    </row>
    <row r="316" spans="1:11" s="131" customFormat="1" ht="12.75">
      <c r="A316" s="90"/>
      <c r="B316" s="172">
        <f t="shared" si="3"/>
        <v>15</v>
      </c>
      <c r="C316" s="344" t="s">
        <v>404</v>
      </c>
      <c r="D316" s="186"/>
      <c r="E316" s="186"/>
      <c r="F316" s="186"/>
      <c r="G316" s="186"/>
      <c r="H316" s="58"/>
      <c r="I316" s="175">
        <v>1</v>
      </c>
      <c r="J316" s="341">
        <v>150000</v>
      </c>
      <c r="K316" s="125">
        <f t="shared" si="2"/>
        <v>150000</v>
      </c>
    </row>
    <row r="317" spans="1:11" s="131" customFormat="1" ht="12.75">
      <c r="A317" s="90"/>
      <c r="B317" s="172">
        <f t="shared" si="3"/>
        <v>16</v>
      </c>
      <c r="C317" s="344" t="s">
        <v>405</v>
      </c>
      <c r="D317" s="186"/>
      <c r="E317" s="186"/>
      <c r="F317" s="186"/>
      <c r="G317" s="186"/>
      <c r="H317" s="58"/>
      <c r="I317" s="175">
        <v>1</v>
      </c>
      <c r="J317" s="341">
        <v>55000</v>
      </c>
      <c r="K317" s="125">
        <f t="shared" si="2"/>
        <v>55000</v>
      </c>
    </row>
    <row r="318" spans="1:11" s="131" customFormat="1" ht="12.75">
      <c r="A318" s="90"/>
      <c r="B318" s="172">
        <f t="shared" si="3"/>
        <v>17</v>
      </c>
      <c r="C318" s="344" t="s">
        <v>406</v>
      </c>
      <c r="D318" s="186"/>
      <c r="E318" s="186"/>
      <c r="F318" s="186"/>
      <c r="G318" s="186"/>
      <c r="H318" s="58"/>
      <c r="I318" s="175">
        <v>1</v>
      </c>
      <c r="J318" s="341">
        <v>200000</v>
      </c>
      <c r="K318" s="125">
        <f t="shared" si="2"/>
        <v>200000</v>
      </c>
    </row>
    <row r="319" spans="1:11" s="131" customFormat="1" ht="12.75">
      <c r="A319" s="90"/>
      <c r="B319" s="172">
        <f t="shared" si="3"/>
        <v>18</v>
      </c>
      <c r="C319" s="344" t="s">
        <v>407</v>
      </c>
      <c r="D319" s="186"/>
      <c r="E319" s="186"/>
      <c r="F319" s="186"/>
      <c r="G319" s="186"/>
      <c r="H319" s="58"/>
      <c r="I319" s="175">
        <v>1</v>
      </c>
      <c r="J319" s="341">
        <v>180000</v>
      </c>
      <c r="K319" s="125">
        <f t="shared" si="2"/>
        <v>180000</v>
      </c>
    </row>
    <row r="320" spans="1:11" s="131" customFormat="1" ht="12.75">
      <c r="A320" s="90"/>
      <c r="B320" s="172">
        <f t="shared" si="3"/>
        <v>19</v>
      </c>
      <c r="C320" s="344" t="s">
        <v>408</v>
      </c>
      <c r="D320" s="186"/>
      <c r="E320" s="186"/>
      <c r="F320" s="186"/>
      <c r="G320" s="186"/>
      <c r="H320" s="58"/>
      <c r="I320" s="175">
        <v>1</v>
      </c>
      <c r="J320" s="341">
        <v>50000</v>
      </c>
      <c r="K320" s="125">
        <f t="shared" si="2"/>
        <v>50000</v>
      </c>
    </row>
    <row r="321" spans="1:11" s="131" customFormat="1" ht="12.75">
      <c r="A321" s="90"/>
      <c r="B321" s="172">
        <f t="shared" si="3"/>
        <v>20</v>
      </c>
      <c r="C321" s="344" t="s">
        <v>409</v>
      </c>
      <c r="D321" s="186"/>
      <c r="E321" s="186"/>
      <c r="F321" s="186"/>
      <c r="G321" s="186"/>
      <c r="H321" s="58"/>
      <c r="I321" s="175">
        <v>1</v>
      </c>
      <c r="J321" s="341">
        <v>30000</v>
      </c>
      <c r="K321" s="125">
        <f t="shared" si="2"/>
        <v>30000</v>
      </c>
    </row>
    <row r="322" spans="1:11" s="131" customFormat="1" ht="12.75">
      <c r="A322" s="90"/>
      <c r="B322" s="172">
        <f t="shared" si="3"/>
        <v>21</v>
      </c>
      <c r="C322" s="344" t="s">
        <v>410</v>
      </c>
      <c r="D322" s="186"/>
      <c r="E322" s="186"/>
      <c r="F322" s="186"/>
      <c r="G322" s="186"/>
      <c r="H322" s="58"/>
      <c r="I322" s="175">
        <v>1</v>
      </c>
      <c r="J322" s="341">
        <v>230000</v>
      </c>
      <c r="K322" s="125">
        <f t="shared" si="2"/>
        <v>230000</v>
      </c>
    </row>
    <row r="323" spans="1:11" s="131" customFormat="1" ht="12.75">
      <c r="A323" s="90"/>
      <c r="B323" s="172">
        <f t="shared" si="3"/>
        <v>22</v>
      </c>
      <c r="C323" s="344" t="s">
        <v>411</v>
      </c>
      <c r="D323" s="186"/>
      <c r="E323" s="186"/>
      <c r="F323" s="186"/>
      <c r="G323" s="186"/>
      <c r="H323" s="58"/>
      <c r="I323" s="175">
        <v>1</v>
      </c>
      <c r="J323" s="341">
        <v>500000</v>
      </c>
      <c r="K323" s="125">
        <f t="shared" si="2"/>
        <v>500000</v>
      </c>
    </row>
    <row r="324" spans="1:11" s="131" customFormat="1" ht="12.75">
      <c r="A324" s="90"/>
      <c r="B324" s="172">
        <f t="shared" si="3"/>
        <v>23</v>
      </c>
      <c r="C324" s="344" t="s">
        <v>412</v>
      </c>
      <c r="D324" s="186"/>
      <c r="E324" s="186"/>
      <c r="F324" s="186"/>
      <c r="G324" s="186"/>
      <c r="H324" s="58"/>
      <c r="I324" s="175">
        <v>1</v>
      </c>
      <c r="J324" s="341">
        <v>900000</v>
      </c>
      <c r="K324" s="125">
        <f t="shared" si="2"/>
        <v>900000</v>
      </c>
    </row>
    <row r="325" spans="1:11" s="131" customFormat="1" ht="12.75">
      <c r="A325" s="90"/>
      <c r="B325" s="172">
        <f t="shared" si="3"/>
        <v>24</v>
      </c>
      <c r="C325" s="344" t="s">
        <v>413</v>
      </c>
      <c r="D325" s="186"/>
      <c r="E325" s="186"/>
      <c r="F325" s="186"/>
      <c r="G325" s="186"/>
      <c r="H325" s="58"/>
      <c r="I325" s="175">
        <v>1</v>
      </c>
      <c r="J325" s="341">
        <v>75000</v>
      </c>
      <c r="K325" s="125">
        <f t="shared" si="2"/>
        <v>75000</v>
      </c>
    </row>
    <row r="326" spans="1:11" s="131" customFormat="1" ht="13.5" thickBot="1">
      <c r="A326" s="90"/>
      <c r="B326" s="172">
        <f t="shared" si="3"/>
        <v>25</v>
      </c>
      <c r="C326" s="344" t="s">
        <v>414</v>
      </c>
      <c r="D326" s="186"/>
      <c r="E326" s="186"/>
      <c r="F326" s="186"/>
      <c r="G326" s="186"/>
      <c r="H326" s="58"/>
      <c r="I326" s="175">
        <v>1</v>
      </c>
      <c r="J326" s="283"/>
      <c r="K326" s="125">
        <f t="shared" si="2"/>
        <v>0</v>
      </c>
    </row>
    <row r="327" spans="1:11" s="131" customFormat="1" ht="13.5" thickBot="1">
      <c r="A327" s="90"/>
      <c r="B327" s="232"/>
      <c r="C327" s="232"/>
      <c r="D327" s="233"/>
      <c r="E327" s="233"/>
      <c r="F327" s="233"/>
      <c r="G327" s="233"/>
      <c r="H327" s="234"/>
      <c r="I327" s="233"/>
      <c r="J327" s="17" t="s">
        <v>38</v>
      </c>
      <c r="K327" s="182">
        <f>SUM(K302:K326)</f>
        <v>25645000</v>
      </c>
    </row>
    <row r="328" spans="1:11" s="131" customFormat="1" ht="12.75">
      <c r="A328" s="90"/>
      <c r="B328" s="172" t="s">
        <v>20</v>
      </c>
      <c r="C328" s="172" t="s">
        <v>106</v>
      </c>
      <c r="D328" s="173"/>
      <c r="E328" s="173"/>
      <c r="F328" s="173"/>
      <c r="G328" s="173"/>
      <c r="H328" s="234"/>
      <c r="I328" s="233"/>
      <c r="J328" s="234"/>
      <c r="K328" s="106"/>
    </row>
    <row r="329" spans="1:11" s="131" customFormat="1" ht="12.75">
      <c r="A329" s="90"/>
      <c r="B329" s="172">
        <v>1</v>
      </c>
      <c r="C329" s="284" t="s">
        <v>420</v>
      </c>
      <c r="D329" s="186"/>
      <c r="E329" s="186"/>
      <c r="F329" s="186"/>
      <c r="G329" s="186"/>
      <c r="H329" s="58"/>
      <c r="I329" s="175">
        <v>5</v>
      </c>
      <c r="J329" s="58">
        <v>50000</v>
      </c>
      <c r="K329" s="125">
        <f>+I329*J329</f>
        <v>250000</v>
      </c>
    </row>
    <row r="330" spans="1:11" s="131" customFormat="1" ht="12.75">
      <c r="A330" s="90"/>
      <c r="B330" s="172">
        <v>2</v>
      </c>
      <c r="C330" s="185" t="s">
        <v>421</v>
      </c>
      <c r="D330" s="186"/>
      <c r="E330" s="186"/>
      <c r="F330" s="186"/>
      <c r="G330" s="186"/>
      <c r="H330" s="58"/>
      <c r="I330" s="175">
        <v>1</v>
      </c>
      <c r="J330" s="58">
        <v>500000</v>
      </c>
      <c r="K330" s="125">
        <f>+I330*J330</f>
        <v>500000</v>
      </c>
    </row>
    <row r="331" spans="1:11" s="131" customFormat="1" ht="12.75">
      <c r="A331" s="90"/>
      <c r="B331" s="172">
        <v>3</v>
      </c>
      <c r="C331" s="185" t="s">
        <v>315</v>
      </c>
      <c r="D331" s="186"/>
      <c r="E331" s="186"/>
      <c r="F331" s="186"/>
      <c r="G331" s="186"/>
      <c r="H331" s="58"/>
      <c r="I331" s="175">
        <v>1</v>
      </c>
      <c r="J331" s="58">
        <v>50000</v>
      </c>
      <c r="K331" s="125">
        <f>+I331*J331</f>
        <v>50000</v>
      </c>
    </row>
    <row r="332" spans="1:11" s="131" customFormat="1" ht="12.75">
      <c r="A332" s="90"/>
      <c r="B332" s="172">
        <v>4</v>
      </c>
      <c r="C332" s="174" t="s">
        <v>422</v>
      </c>
      <c r="D332" s="186"/>
      <c r="E332" s="186"/>
      <c r="F332" s="186"/>
      <c r="G332" s="186"/>
      <c r="H332" s="58"/>
      <c r="I332" s="175">
        <v>2</v>
      </c>
      <c r="J332" s="58">
        <v>500000</v>
      </c>
      <c r="K332" s="125">
        <f>+I332*J332</f>
        <v>1000000</v>
      </c>
    </row>
    <row r="333" spans="1:11" s="131" customFormat="1" ht="13.5" thickBot="1">
      <c r="A333" s="90"/>
      <c r="B333" s="172">
        <v>5</v>
      </c>
      <c r="C333" s="345" t="s">
        <v>423</v>
      </c>
      <c r="D333" s="186"/>
      <c r="E333" s="186"/>
      <c r="F333" s="186"/>
      <c r="G333" s="186"/>
      <c r="H333" s="58"/>
      <c r="I333" s="175">
        <v>1</v>
      </c>
      <c r="J333" s="58">
        <v>50000</v>
      </c>
      <c r="K333" s="125">
        <f>+I333*J333</f>
        <v>50000</v>
      </c>
    </row>
    <row r="334" spans="1:11" s="131" customFormat="1" ht="13.5" thickBot="1">
      <c r="A334" s="90"/>
      <c r="B334" s="232"/>
      <c r="C334" s="232"/>
      <c r="D334" s="233"/>
      <c r="E334" s="233"/>
      <c r="F334" s="233"/>
      <c r="G334" s="233"/>
      <c r="H334" s="234"/>
      <c r="I334" s="233"/>
      <c r="J334" s="17" t="s">
        <v>38</v>
      </c>
      <c r="K334" s="182">
        <f>SUM(K329:K333)</f>
        <v>1850000</v>
      </c>
    </row>
    <row r="335" spans="1:11" s="131" customFormat="1" ht="12.75">
      <c r="A335" s="90"/>
      <c r="B335" s="172" t="s">
        <v>84</v>
      </c>
      <c r="C335" s="172" t="s">
        <v>107</v>
      </c>
      <c r="D335" s="173"/>
      <c r="E335" s="173"/>
      <c r="F335" s="173"/>
      <c r="G335" s="173"/>
      <c r="H335" s="234"/>
      <c r="I335" s="233"/>
      <c r="J335" s="234"/>
      <c r="K335" s="106"/>
    </row>
    <row r="336" spans="1:11" s="131" customFormat="1" ht="12.75">
      <c r="A336" s="90"/>
      <c r="B336" s="172">
        <v>1</v>
      </c>
      <c r="C336" s="185"/>
      <c r="D336" s="186"/>
      <c r="E336" s="186"/>
      <c r="F336" s="186"/>
      <c r="G336" s="186"/>
      <c r="H336" s="58"/>
      <c r="I336" s="175"/>
      <c r="J336" s="58"/>
      <c r="K336" s="125">
        <f>+I336*J336</f>
        <v>0</v>
      </c>
    </row>
    <row r="337" spans="1:11" s="131" customFormat="1" ht="12.75">
      <c r="A337" s="90"/>
      <c r="B337" s="172">
        <v>2</v>
      </c>
      <c r="C337" s="185"/>
      <c r="D337" s="186"/>
      <c r="E337" s="186"/>
      <c r="F337" s="186"/>
      <c r="G337" s="186"/>
      <c r="H337" s="58"/>
      <c r="I337" s="175"/>
      <c r="J337" s="58"/>
      <c r="K337" s="125">
        <f>+I337*J337</f>
        <v>0</v>
      </c>
    </row>
    <row r="338" spans="1:11" s="131" customFormat="1" ht="13.5" thickBot="1">
      <c r="A338" s="90"/>
      <c r="B338" s="172">
        <v>3</v>
      </c>
      <c r="C338" s="185"/>
      <c r="D338" s="186"/>
      <c r="E338" s="186"/>
      <c r="F338" s="186"/>
      <c r="G338" s="186"/>
      <c r="H338" s="58"/>
      <c r="I338" s="175"/>
      <c r="J338" s="58"/>
      <c r="K338" s="125">
        <f>+I338*J338</f>
        <v>0</v>
      </c>
    </row>
    <row r="339" spans="1:11" s="131" customFormat="1" ht="13.5" thickBot="1">
      <c r="A339" s="90"/>
      <c r="B339" s="232"/>
      <c r="C339" s="232"/>
      <c r="D339" s="233"/>
      <c r="E339" s="233"/>
      <c r="F339" s="233"/>
      <c r="G339" s="233"/>
      <c r="H339" s="234"/>
      <c r="I339" s="236"/>
      <c r="J339" s="16" t="s">
        <v>38</v>
      </c>
      <c r="K339" s="182">
        <f>SUM(K336:K338)</f>
        <v>0</v>
      </c>
    </row>
    <row r="340" spans="1:11" s="131" customFormat="1" ht="12.75">
      <c r="A340" s="90"/>
      <c r="B340" s="90"/>
      <c r="C340" s="90"/>
      <c r="D340" s="90"/>
      <c r="E340" s="90"/>
      <c r="F340" s="90"/>
      <c r="G340" s="90"/>
      <c r="H340" s="90"/>
      <c r="I340" s="90"/>
      <c r="J340" s="138"/>
      <c r="K340" s="138"/>
    </row>
    <row r="341" spans="1:11" s="131" customFormat="1" ht="12.75">
      <c r="A341" s="90"/>
      <c r="B341" s="90"/>
      <c r="C341" s="90"/>
      <c r="D341" s="90"/>
      <c r="E341" s="90"/>
      <c r="F341" s="90"/>
      <c r="G341" s="90"/>
      <c r="H341" s="90"/>
      <c r="I341" s="90"/>
      <c r="J341" s="138"/>
      <c r="K341" s="138"/>
    </row>
    <row r="342" spans="1:11" s="131" customFormat="1" ht="12.75">
      <c r="A342" s="90" t="s">
        <v>85</v>
      </c>
      <c r="B342" s="90" t="s">
        <v>108</v>
      </c>
      <c r="C342" s="90"/>
      <c r="D342" s="90"/>
      <c r="E342" s="90"/>
      <c r="F342" s="90"/>
      <c r="G342" s="90"/>
      <c r="H342" s="90"/>
      <c r="I342" s="90"/>
      <c r="J342" s="90"/>
      <c r="K342" s="90">
        <v>8</v>
      </c>
    </row>
    <row r="343" spans="1:11" s="131" customFormat="1" ht="12.75">
      <c r="A343" s="90"/>
      <c r="B343" s="90" t="s">
        <v>109</v>
      </c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s="131" customFormat="1" ht="12.75">
      <c r="A344" s="90"/>
      <c r="B344" s="217" t="s">
        <v>52</v>
      </c>
      <c r="C344" s="172" t="s">
        <v>312</v>
      </c>
      <c r="D344" s="173"/>
      <c r="E344" s="173"/>
      <c r="F344" s="172" t="s">
        <v>313</v>
      </c>
      <c r="G344" s="173"/>
      <c r="H344" s="173"/>
      <c r="I344" s="127"/>
      <c r="J344" s="99" t="s">
        <v>252</v>
      </c>
      <c r="K344" s="98" t="s">
        <v>253</v>
      </c>
    </row>
    <row r="345" spans="1:11" s="131" customFormat="1" ht="12.75">
      <c r="A345" s="90"/>
      <c r="B345" s="237">
        <v>1</v>
      </c>
      <c r="C345" s="197" t="s">
        <v>444</v>
      </c>
      <c r="D345" s="129"/>
      <c r="E345" s="129"/>
      <c r="F345" s="197" t="str">
        <f>C297</f>
        <v>Kelapa Dua Wetan Raya 7 Ciracas - Cibubur Jakarta Timur</v>
      </c>
      <c r="G345" s="129"/>
      <c r="H345" s="129"/>
      <c r="I345" s="142"/>
      <c r="J345" s="238">
        <v>1</v>
      </c>
      <c r="K345" s="204">
        <v>10000000</v>
      </c>
    </row>
    <row r="346" spans="1:11" s="131" customFormat="1" ht="12.75">
      <c r="A346" s="90"/>
      <c r="B346" s="217">
        <v>2</v>
      </c>
      <c r="C346" s="185"/>
      <c r="D346" s="186"/>
      <c r="E346" s="186"/>
      <c r="F346" s="185"/>
      <c r="G346" s="186"/>
      <c r="H346" s="186"/>
      <c r="I346" s="223"/>
      <c r="J346" s="175"/>
      <c r="K346" s="58"/>
    </row>
    <row r="347" spans="1:11" s="131" customFormat="1" ht="12.75">
      <c r="A347" s="90"/>
      <c r="B347" s="217">
        <v>3</v>
      </c>
      <c r="C347" s="185"/>
      <c r="D347" s="186"/>
      <c r="E347" s="186"/>
      <c r="F347" s="185"/>
      <c r="G347" s="186"/>
      <c r="H347" s="186"/>
      <c r="I347" s="223"/>
      <c r="J347" s="175"/>
      <c r="K347" s="58"/>
    </row>
    <row r="348" spans="1:11" s="131" customFormat="1" ht="13.5" thickBot="1">
      <c r="A348" s="90"/>
      <c r="B348" s="183">
        <v>4</v>
      </c>
      <c r="C348" s="198"/>
      <c r="D348" s="177"/>
      <c r="E348" s="177"/>
      <c r="F348" s="198"/>
      <c r="G348" s="177"/>
      <c r="H348" s="177"/>
      <c r="I348" s="199"/>
      <c r="J348" s="235"/>
      <c r="K348" s="204"/>
    </row>
    <row r="349" spans="1:11" s="131" customFormat="1" ht="13.5" thickBot="1">
      <c r="A349" s="90"/>
      <c r="B349" s="90"/>
      <c r="C349" s="90"/>
      <c r="D349" s="15" t="s">
        <v>111</v>
      </c>
      <c r="E349" s="90"/>
      <c r="F349" s="90"/>
      <c r="G349" s="90"/>
      <c r="H349" s="90"/>
      <c r="I349" s="90"/>
      <c r="J349" s="34"/>
      <c r="K349" s="182">
        <f>SUM(K345:K348)</f>
        <v>10000000</v>
      </c>
    </row>
    <row r="350" spans="1:11" s="131" customFormat="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s="131" customFormat="1" ht="12.75">
      <c r="A351" s="90" t="s">
        <v>112</v>
      </c>
      <c r="B351" s="90" t="s">
        <v>113</v>
      </c>
      <c r="C351" s="90"/>
      <c r="D351" s="90"/>
      <c r="E351" s="134" t="s">
        <v>110</v>
      </c>
      <c r="F351" s="134" t="s">
        <v>251</v>
      </c>
      <c r="G351" s="135"/>
      <c r="H351" s="135"/>
      <c r="I351" s="135"/>
      <c r="J351" s="135"/>
      <c r="K351" s="200" t="s">
        <v>165</v>
      </c>
    </row>
    <row r="352" spans="1:11" s="131" customFormat="1" ht="12.75">
      <c r="A352" s="90"/>
      <c r="B352" s="90" t="s">
        <v>114</v>
      </c>
      <c r="C352" s="90"/>
      <c r="D352" s="90"/>
      <c r="E352" s="137"/>
      <c r="F352" s="137"/>
      <c r="G352" s="138"/>
      <c r="H352" s="138"/>
      <c r="I352" s="138"/>
      <c r="J352" s="138"/>
      <c r="K352" s="237" t="s">
        <v>254</v>
      </c>
    </row>
    <row r="353" spans="1:11" s="131" customFormat="1" ht="12.75">
      <c r="A353" s="90"/>
      <c r="B353" s="90"/>
      <c r="C353" s="90"/>
      <c r="D353" s="90"/>
      <c r="E353" s="134" t="s">
        <v>115</v>
      </c>
      <c r="F353" s="185"/>
      <c r="G353" s="186"/>
      <c r="H353" s="186"/>
      <c r="I353" s="186"/>
      <c r="J353" s="186"/>
      <c r="K353" s="58"/>
    </row>
    <row r="354" spans="1:11" s="131" customFormat="1" ht="13.5" thickBot="1">
      <c r="A354" s="90"/>
      <c r="B354" s="90"/>
      <c r="C354" s="90"/>
      <c r="D354" s="90"/>
      <c r="E354" s="137"/>
      <c r="F354" s="185"/>
      <c r="G354" s="186"/>
      <c r="H354" s="186"/>
      <c r="I354" s="186"/>
      <c r="J354" s="186"/>
      <c r="K354" s="189"/>
    </row>
    <row r="355" spans="1:11" s="131" customFormat="1" ht="14.25" thickBot="1" thickTop="1">
      <c r="A355" s="90"/>
      <c r="B355" s="90"/>
      <c r="C355" s="90"/>
      <c r="D355" s="90"/>
      <c r="E355" s="160"/>
      <c r="F355" s="160" t="s">
        <v>38</v>
      </c>
      <c r="G355" s="161"/>
      <c r="H355" s="161"/>
      <c r="I355" s="161"/>
      <c r="J355" s="161"/>
      <c r="K355" s="181">
        <f>SUM(K353:K354)</f>
        <v>0</v>
      </c>
    </row>
    <row r="356" spans="1:11" s="131" customFormat="1" ht="13.5" thickTop="1">
      <c r="A356" s="90"/>
      <c r="B356" s="90"/>
      <c r="C356" s="90"/>
      <c r="D356" s="90"/>
      <c r="E356" s="137" t="s">
        <v>116</v>
      </c>
      <c r="F356" s="185"/>
      <c r="G356" s="186"/>
      <c r="H356" s="186"/>
      <c r="I356" s="186"/>
      <c r="J356" s="186"/>
      <c r="K356" s="178"/>
    </row>
    <row r="357" spans="1:11" s="131" customFormat="1" ht="13.5" thickBot="1">
      <c r="A357" s="90"/>
      <c r="B357" s="90"/>
      <c r="C357" s="90"/>
      <c r="D357" s="90"/>
      <c r="E357" s="137"/>
      <c r="F357" s="185" t="s">
        <v>436</v>
      </c>
      <c r="G357" s="186"/>
      <c r="H357" s="186"/>
      <c r="I357" s="186"/>
      <c r="J357" s="186"/>
      <c r="K357" s="189">
        <f>10000000/12</f>
        <v>833333.3333333334</v>
      </c>
    </row>
    <row r="358" spans="1:11" s="131" customFormat="1" ht="14.25" thickBot="1" thickTop="1">
      <c r="A358" s="90"/>
      <c r="B358" s="90"/>
      <c r="C358" s="90"/>
      <c r="D358" s="90"/>
      <c r="E358" s="137"/>
      <c r="F358" s="137" t="s">
        <v>38</v>
      </c>
      <c r="G358" s="138"/>
      <c r="H358" s="138"/>
      <c r="I358" s="138"/>
      <c r="J358" s="138"/>
      <c r="K358" s="239">
        <f>SUM(K356:K357)</f>
        <v>833333.3333333334</v>
      </c>
    </row>
    <row r="359" spans="1:11" s="131" customFormat="1" ht="13.5" thickTop="1">
      <c r="A359" s="90"/>
      <c r="B359" s="90"/>
      <c r="C359" s="90"/>
      <c r="D359" s="90"/>
      <c r="E359" s="134" t="s">
        <v>117</v>
      </c>
      <c r="F359" s="185"/>
      <c r="G359" s="186"/>
      <c r="H359" s="186"/>
      <c r="I359" s="186"/>
      <c r="J359" s="186"/>
      <c r="K359" s="178"/>
    </row>
    <row r="360" spans="1:11" s="131" customFormat="1" ht="12.75">
      <c r="A360" s="90"/>
      <c r="B360" s="90"/>
      <c r="C360" s="90"/>
      <c r="D360" s="90"/>
      <c r="E360" s="137" t="s">
        <v>255</v>
      </c>
      <c r="F360" s="185"/>
      <c r="G360" s="186"/>
      <c r="H360" s="186"/>
      <c r="I360" s="186"/>
      <c r="J360" s="186"/>
      <c r="K360" s="58"/>
    </row>
    <row r="361" spans="1:11" s="131" customFormat="1" ht="13.5" thickBot="1">
      <c r="A361" s="90"/>
      <c r="B361" s="90"/>
      <c r="C361" s="90"/>
      <c r="D361" s="90"/>
      <c r="E361" s="137"/>
      <c r="F361" s="185"/>
      <c r="G361" s="186"/>
      <c r="H361" s="186"/>
      <c r="I361" s="186"/>
      <c r="J361" s="186"/>
      <c r="K361" s="189"/>
    </row>
    <row r="362" spans="1:11" s="131" customFormat="1" ht="14.25" thickBot="1" thickTop="1">
      <c r="A362" s="90"/>
      <c r="B362" s="90"/>
      <c r="C362" s="90"/>
      <c r="D362" s="90"/>
      <c r="E362" s="160"/>
      <c r="F362" s="160" t="s">
        <v>38</v>
      </c>
      <c r="G362" s="161"/>
      <c r="H362" s="161"/>
      <c r="I362" s="161"/>
      <c r="J362" s="161"/>
      <c r="K362" s="239">
        <f>SUM(K359:K361)</f>
        <v>0</v>
      </c>
    </row>
    <row r="363" spans="1:11" s="131" customFormat="1" ht="14.25" thickBot="1" thickTop="1">
      <c r="A363" s="90"/>
      <c r="B363" s="90"/>
      <c r="C363" s="90"/>
      <c r="D363" s="90"/>
      <c r="E363" s="160" t="s">
        <v>119</v>
      </c>
      <c r="F363" s="161"/>
      <c r="G363" s="161"/>
      <c r="H363" s="161"/>
      <c r="I363" s="161"/>
      <c r="J363" s="161"/>
      <c r="K363" s="239">
        <f>+K355+K358+K362</f>
        <v>833333.3333333334</v>
      </c>
    </row>
    <row r="364" spans="1:11" s="131" customFormat="1" ht="14.25" thickBot="1" thickTop="1">
      <c r="A364" s="90"/>
      <c r="B364" s="90"/>
      <c r="C364" s="90"/>
      <c r="D364" s="15" t="s">
        <v>120</v>
      </c>
      <c r="E364" s="90"/>
      <c r="F364" s="90"/>
      <c r="G364" s="90"/>
      <c r="H364" s="90"/>
      <c r="I364" s="90"/>
      <c r="J364" s="90"/>
      <c r="K364" s="240">
        <f>12*K363</f>
        <v>10000000</v>
      </c>
    </row>
    <row r="365" spans="1:11" s="131" customFormat="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s="131" customFormat="1" ht="12.75">
      <c r="A366" s="90" t="s">
        <v>121</v>
      </c>
      <c r="B366" s="90" t="s">
        <v>256</v>
      </c>
      <c r="C366" s="90"/>
      <c r="D366" s="90"/>
      <c r="E366" s="90"/>
      <c r="F366" s="166" t="s">
        <v>52</v>
      </c>
      <c r="G366" s="370" t="s">
        <v>74</v>
      </c>
      <c r="H366" s="372"/>
      <c r="I366" s="169" t="s">
        <v>38</v>
      </c>
      <c r="J366" s="167" t="s">
        <v>258</v>
      </c>
      <c r="K366" s="169" t="s">
        <v>38</v>
      </c>
    </row>
    <row r="367" spans="1:11" s="131" customFormat="1" ht="12.75">
      <c r="A367" s="90"/>
      <c r="B367" s="90" t="s">
        <v>122</v>
      </c>
      <c r="C367" s="90"/>
      <c r="D367" s="90"/>
      <c r="E367" s="90"/>
      <c r="F367" s="201"/>
      <c r="G367" s="201"/>
      <c r="H367" s="226"/>
      <c r="I367" s="227" t="s">
        <v>250</v>
      </c>
      <c r="J367" s="202" t="s">
        <v>259</v>
      </c>
      <c r="K367" s="184" t="s">
        <v>257</v>
      </c>
    </row>
    <row r="368" spans="1:11" s="131" customFormat="1" ht="12.75">
      <c r="A368" s="90"/>
      <c r="B368" s="90" t="s">
        <v>123</v>
      </c>
      <c r="C368" s="90"/>
      <c r="D368" s="90"/>
      <c r="E368" s="90"/>
      <c r="F368" s="190">
        <v>1</v>
      </c>
      <c r="G368" s="185" t="str">
        <f aca="true" t="shared" si="4" ref="G368:G392">C302</f>
        <v>Dental Unit</v>
      </c>
      <c r="H368" s="196"/>
      <c r="I368" s="235"/>
      <c r="J368" s="282"/>
      <c r="K368" s="113">
        <f>+I368*J368</f>
        <v>0</v>
      </c>
    </row>
    <row r="369" spans="1:11" s="131" customFormat="1" ht="12.75">
      <c r="A369" s="90"/>
      <c r="B369" s="90" t="s">
        <v>124</v>
      </c>
      <c r="C369" s="90"/>
      <c r="D369" s="90"/>
      <c r="E369" s="90"/>
      <c r="F369" s="190">
        <v>2</v>
      </c>
      <c r="G369" s="185" t="str">
        <f t="shared" si="4"/>
        <v>Stetoskop Majestic1 buah </v>
      </c>
      <c r="H369" s="223"/>
      <c r="I369" s="175"/>
      <c r="J369" s="341"/>
      <c r="K369" s="113">
        <f aca="true" t="shared" si="5" ref="K369:K392">+I369*J369</f>
        <v>0</v>
      </c>
    </row>
    <row r="370" spans="1:11" s="131" customFormat="1" ht="12.75">
      <c r="A370" s="90"/>
      <c r="B370" s="90"/>
      <c r="C370" s="90"/>
      <c r="D370" s="90"/>
      <c r="E370" s="90"/>
      <c r="F370" s="190">
        <f>F369+1</f>
        <v>3</v>
      </c>
      <c r="G370" s="185" t="str">
        <f t="shared" si="4"/>
        <v>Tensi Riester Nova Hg </v>
      </c>
      <c r="H370" s="142"/>
      <c r="I370" s="175"/>
      <c r="J370" s="341"/>
      <c r="K370" s="113">
        <f t="shared" si="5"/>
        <v>0</v>
      </c>
    </row>
    <row r="371" spans="1:11" s="131" customFormat="1" ht="12.75">
      <c r="A371" s="90"/>
      <c r="B371" s="90"/>
      <c r="C371" s="90"/>
      <c r="D371" s="90"/>
      <c r="E371" s="90"/>
      <c r="F371" s="190">
        <f aca="true" t="shared" si="6" ref="F371:F392">F370+1</f>
        <v>4</v>
      </c>
      <c r="G371" s="185" t="str">
        <f t="shared" si="4"/>
        <v>Termometer 3 buah ( 2 oral, 1 rektal )</v>
      </c>
      <c r="H371" s="223"/>
      <c r="I371" s="175"/>
      <c r="J371" s="341"/>
      <c r="K371" s="113">
        <f t="shared" si="5"/>
        <v>0</v>
      </c>
    </row>
    <row r="372" spans="1:11" s="131" customFormat="1" ht="12.75">
      <c r="A372" s="90"/>
      <c r="B372" s="90"/>
      <c r="C372" s="90"/>
      <c r="D372" s="90"/>
      <c r="E372" s="90"/>
      <c r="F372" s="190">
        <f t="shared" si="6"/>
        <v>5</v>
      </c>
      <c r="G372" s="185" t="str">
        <f t="shared" si="4"/>
        <v>Spatel tongue (anak &amp; dewasa)</v>
      </c>
      <c r="H372" s="142"/>
      <c r="I372" s="175">
        <v>5</v>
      </c>
      <c r="J372" s="341">
        <v>10000</v>
      </c>
      <c r="K372" s="113">
        <f t="shared" si="5"/>
        <v>50000</v>
      </c>
    </row>
    <row r="373" spans="1:11" s="131" customFormat="1" ht="12.75">
      <c r="A373" s="90"/>
      <c r="B373" s="90"/>
      <c r="C373" s="90"/>
      <c r="D373" s="90"/>
      <c r="E373" s="90"/>
      <c r="F373" s="190">
        <f t="shared" si="6"/>
        <v>6</v>
      </c>
      <c r="G373" s="185" t="str">
        <f t="shared" si="4"/>
        <v>Senter energizer 1 buah</v>
      </c>
      <c r="H373" s="223"/>
      <c r="I373" s="175"/>
      <c r="J373" s="341"/>
      <c r="K373" s="113">
        <f t="shared" si="5"/>
        <v>0</v>
      </c>
    </row>
    <row r="374" spans="1:11" s="131" customFormat="1" ht="12.75">
      <c r="A374" s="90"/>
      <c r="B374" s="90"/>
      <c r="C374" s="90"/>
      <c r="D374" s="90"/>
      <c r="E374" s="90"/>
      <c r="F374" s="190">
        <f t="shared" si="6"/>
        <v>7</v>
      </c>
      <c r="G374" s="185" t="str">
        <f t="shared" si="4"/>
        <v>Hammer Kampak </v>
      </c>
      <c r="H374" s="142"/>
      <c r="I374" s="175"/>
      <c r="J374" s="341"/>
      <c r="K374" s="113">
        <f t="shared" si="5"/>
        <v>0</v>
      </c>
    </row>
    <row r="375" spans="1:11" s="131" customFormat="1" ht="12.75">
      <c r="A375" s="90"/>
      <c r="B375" s="90"/>
      <c r="C375" s="90"/>
      <c r="D375" s="90"/>
      <c r="E375" s="90"/>
      <c r="F375" s="190">
        <f t="shared" si="6"/>
        <v>8</v>
      </c>
      <c r="G375" s="185" t="str">
        <f t="shared" si="4"/>
        <v>Timbangan smic</v>
      </c>
      <c r="H375" s="223"/>
      <c r="I375" s="175"/>
      <c r="J375" s="341"/>
      <c r="K375" s="113">
        <f t="shared" si="5"/>
        <v>0</v>
      </c>
    </row>
    <row r="376" spans="1:11" s="131" customFormat="1" ht="12.75">
      <c r="A376" s="90"/>
      <c r="B376" s="90"/>
      <c r="C376" s="90"/>
      <c r="D376" s="90"/>
      <c r="E376" s="90"/>
      <c r="F376" s="190">
        <f t="shared" si="6"/>
        <v>9</v>
      </c>
      <c r="G376" s="185" t="str">
        <f t="shared" si="4"/>
        <v>Minor set</v>
      </c>
      <c r="H376" s="142"/>
      <c r="I376" s="175"/>
      <c r="J376" s="341"/>
      <c r="K376" s="113">
        <f t="shared" si="5"/>
        <v>0</v>
      </c>
    </row>
    <row r="377" spans="1:11" s="131" customFormat="1" ht="12.75">
      <c r="A377" s="90"/>
      <c r="B377" s="90"/>
      <c r="C377" s="90"/>
      <c r="D377" s="90"/>
      <c r="E377" s="90"/>
      <c r="F377" s="190">
        <f t="shared" si="6"/>
        <v>10</v>
      </c>
      <c r="G377" s="185" t="str">
        <f t="shared" si="4"/>
        <v>Tabung oxygen + dorongan </v>
      </c>
      <c r="H377" s="223"/>
      <c r="I377" s="175"/>
      <c r="J377" s="341"/>
      <c r="K377" s="113">
        <f t="shared" si="5"/>
        <v>0</v>
      </c>
    </row>
    <row r="378" spans="1:11" s="131" customFormat="1" ht="12.75">
      <c r="A378" s="90"/>
      <c r="B378" s="90"/>
      <c r="C378" s="90"/>
      <c r="D378" s="90"/>
      <c r="E378" s="90"/>
      <c r="F378" s="190">
        <f t="shared" si="6"/>
        <v>11</v>
      </c>
      <c r="G378" s="185" t="str">
        <f t="shared" si="4"/>
        <v>Spuit  disposable 1 cc, 3 cc, 5 cc</v>
      </c>
      <c r="H378" s="142"/>
      <c r="I378" s="175">
        <v>5</v>
      </c>
      <c r="J378" s="341">
        <v>250000</v>
      </c>
      <c r="K378" s="113">
        <f t="shared" si="5"/>
        <v>1250000</v>
      </c>
    </row>
    <row r="379" spans="1:11" s="131" customFormat="1" ht="12.75">
      <c r="A379" s="90"/>
      <c r="B379" s="90"/>
      <c r="C379" s="90"/>
      <c r="D379" s="90"/>
      <c r="E379" s="90"/>
      <c r="F379" s="190">
        <f t="shared" si="6"/>
        <v>12</v>
      </c>
      <c r="G379" s="185" t="str">
        <f t="shared" si="4"/>
        <v>Hand scoen 1 dos No. 5,6,7</v>
      </c>
      <c r="H379" s="223"/>
      <c r="I379" s="175">
        <v>5</v>
      </c>
      <c r="J379" s="341">
        <v>50000</v>
      </c>
      <c r="K379" s="113">
        <f t="shared" si="5"/>
        <v>250000</v>
      </c>
    </row>
    <row r="380" spans="1:11" s="131" customFormat="1" ht="12.75">
      <c r="A380" s="90"/>
      <c r="B380" s="90"/>
      <c r="C380" s="90"/>
      <c r="D380" s="90"/>
      <c r="E380" s="90"/>
      <c r="F380" s="190">
        <f t="shared" si="6"/>
        <v>13</v>
      </c>
      <c r="G380" s="185" t="str">
        <f t="shared" si="4"/>
        <v>Nierbeken </v>
      </c>
      <c r="H380" s="199"/>
      <c r="I380" s="175">
        <v>5</v>
      </c>
      <c r="J380" s="341">
        <v>25000</v>
      </c>
      <c r="K380" s="113">
        <f t="shared" si="5"/>
        <v>125000</v>
      </c>
    </row>
    <row r="381" spans="1:11" s="131" customFormat="1" ht="12.75">
      <c r="A381" s="90"/>
      <c r="B381" s="90"/>
      <c r="C381" s="90"/>
      <c r="D381" s="90"/>
      <c r="E381" s="90"/>
      <c r="F381" s="190">
        <f t="shared" si="6"/>
        <v>14</v>
      </c>
      <c r="G381" s="177" t="str">
        <f t="shared" si="4"/>
        <v>THT Set</v>
      </c>
      <c r="H381" s="223"/>
      <c r="I381" s="175"/>
      <c r="J381" s="341"/>
      <c r="K381" s="113">
        <f t="shared" si="5"/>
        <v>0</v>
      </c>
    </row>
    <row r="382" spans="1:11" s="131" customFormat="1" ht="12.75">
      <c r="A382" s="90"/>
      <c r="B382" s="90"/>
      <c r="C382" s="90"/>
      <c r="D382" s="90"/>
      <c r="E382" s="90"/>
      <c r="F382" s="190">
        <f t="shared" si="6"/>
        <v>15</v>
      </c>
      <c r="G382" s="177" t="str">
        <f t="shared" si="4"/>
        <v>Jarum 123, 14, 20</v>
      </c>
      <c r="H382" s="199"/>
      <c r="I382" s="175">
        <v>10</v>
      </c>
      <c r="J382" s="341">
        <v>150000</v>
      </c>
      <c r="K382" s="113">
        <f t="shared" si="5"/>
        <v>1500000</v>
      </c>
    </row>
    <row r="383" spans="1:11" s="131" customFormat="1" ht="12.75">
      <c r="A383" s="90"/>
      <c r="B383" s="90"/>
      <c r="C383" s="90"/>
      <c r="D383" s="90"/>
      <c r="E383" s="90"/>
      <c r="F383" s="190">
        <f t="shared" si="6"/>
        <v>16</v>
      </c>
      <c r="G383" s="177" t="str">
        <f t="shared" si="4"/>
        <v>Korentang</v>
      </c>
      <c r="H383" s="199"/>
      <c r="I383" s="175">
        <v>5</v>
      </c>
      <c r="J383" s="341">
        <v>55000</v>
      </c>
      <c r="K383" s="113">
        <f t="shared" si="5"/>
        <v>275000</v>
      </c>
    </row>
    <row r="384" spans="1:11" s="131" customFormat="1" ht="12.75">
      <c r="A384" s="90"/>
      <c r="B384" s="90"/>
      <c r="C384" s="90"/>
      <c r="D384" s="90"/>
      <c r="E384" s="90"/>
      <c r="F384" s="190">
        <f t="shared" si="6"/>
        <v>17</v>
      </c>
      <c r="G384" s="177" t="str">
        <f t="shared" si="4"/>
        <v>Cateter nelaton 3 – 15</v>
      </c>
      <c r="H384" s="199"/>
      <c r="I384" s="175">
        <v>5</v>
      </c>
      <c r="J384" s="341">
        <v>200000</v>
      </c>
      <c r="K384" s="113">
        <f t="shared" si="5"/>
        <v>1000000</v>
      </c>
    </row>
    <row r="385" spans="1:11" s="131" customFormat="1" ht="12.75">
      <c r="A385" s="90"/>
      <c r="B385" s="90"/>
      <c r="C385" s="90"/>
      <c r="D385" s="90"/>
      <c r="E385" s="90"/>
      <c r="F385" s="190">
        <f t="shared" si="6"/>
        <v>18</v>
      </c>
      <c r="G385" s="177" t="str">
        <f t="shared" si="4"/>
        <v>Standar Infus</v>
      </c>
      <c r="H385" s="199"/>
      <c r="I385" s="175">
        <v>5</v>
      </c>
      <c r="J385" s="341">
        <v>180000</v>
      </c>
      <c r="K385" s="113">
        <f t="shared" si="5"/>
        <v>900000</v>
      </c>
    </row>
    <row r="386" spans="1:11" s="131" customFormat="1" ht="12.75">
      <c r="A386" s="90"/>
      <c r="B386" s="90"/>
      <c r="C386" s="90"/>
      <c r="D386" s="90"/>
      <c r="E386" s="90"/>
      <c r="F386" s="190">
        <f t="shared" si="6"/>
        <v>19</v>
      </c>
      <c r="G386" s="177" t="str">
        <f t="shared" si="4"/>
        <v>Laken Plastik</v>
      </c>
      <c r="H386" s="199"/>
      <c r="I386" s="175">
        <v>5</v>
      </c>
      <c r="J386" s="341">
        <v>50000</v>
      </c>
      <c r="K386" s="113">
        <f t="shared" si="5"/>
        <v>250000</v>
      </c>
    </row>
    <row r="387" spans="1:11" s="131" customFormat="1" ht="12.75">
      <c r="A387" s="90"/>
      <c r="B387" s="90"/>
      <c r="C387" s="90"/>
      <c r="D387" s="90"/>
      <c r="E387" s="90"/>
      <c r="F387" s="190">
        <f t="shared" si="6"/>
        <v>20</v>
      </c>
      <c r="G387" s="177" t="str">
        <f t="shared" si="4"/>
        <v>Mortir  1 buah</v>
      </c>
      <c r="H387" s="199"/>
      <c r="I387" s="175">
        <v>5</v>
      </c>
      <c r="J387" s="341">
        <v>30000</v>
      </c>
      <c r="K387" s="113">
        <f t="shared" si="5"/>
        <v>150000</v>
      </c>
    </row>
    <row r="388" spans="1:11" s="131" customFormat="1" ht="12.75">
      <c r="A388" s="90"/>
      <c r="B388" s="90"/>
      <c r="C388" s="90"/>
      <c r="D388" s="90"/>
      <c r="E388" s="90"/>
      <c r="F388" s="190">
        <f t="shared" si="6"/>
        <v>21</v>
      </c>
      <c r="G388" s="177" t="str">
        <f t="shared" si="4"/>
        <v>Washkom + kaki</v>
      </c>
      <c r="H388" s="199"/>
      <c r="I388" s="175">
        <v>2</v>
      </c>
      <c r="J388" s="341">
        <v>230000</v>
      </c>
      <c r="K388" s="113">
        <f t="shared" si="5"/>
        <v>460000</v>
      </c>
    </row>
    <row r="389" spans="1:11" s="131" customFormat="1" ht="12.75">
      <c r="A389" s="90"/>
      <c r="B389" s="90"/>
      <c r="C389" s="90"/>
      <c r="D389" s="90"/>
      <c r="E389" s="90"/>
      <c r="F389" s="190">
        <f t="shared" si="6"/>
        <v>22</v>
      </c>
      <c r="G389" s="177" t="str">
        <f t="shared" si="4"/>
        <v>Lemari obat 1 buah</v>
      </c>
      <c r="H389" s="199"/>
      <c r="I389" s="175"/>
      <c r="J389" s="341"/>
      <c r="K389" s="113">
        <f t="shared" si="5"/>
        <v>0</v>
      </c>
    </row>
    <row r="390" spans="1:11" s="131" customFormat="1" ht="12.75">
      <c r="A390" s="90"/>
      <c r="B390" s="90"/>
      <c r="C390" s="90"/>
      <c r="D390" s="90"/>
      <c r="E390" s="90"/>
      <c r="F390" s="190">
        <f t="shared" si="6"/>
        <v>23</v>
      </c>
      <c r="G390" s="177" t="str">
        <f t="shared" si="4"/>
        <v>Tempat tidur periksa</v>
      </c>
      <c r="H390" s="199"/>
      <c r="I390" s="175"/>
      <c r="J390" s="341"/>
      <c r="K390" s="113">
        <f t="shared" si="5"/>
        <v>0</v>
      </c>
    </row>
    <row r="391" spans="1:11" s="131" customFormat="1" ht="12.75">
      <c r="A391" s="90"/>
      <c r="B391" s="90"/>
      <c r="C391" s="90"/>
      <c r="D391" s="90"/>
      <c r="E391" s="90"/>
      <c r="F391" s="190">
        <f t="shared" si="6"/>
        <v>24</v>
      </c>
      <c r="G391" s="177" t="str">
        <f t="shared" si="4"/>
        <v>Pispot 1 buah</v>
      </c>
      <c r="H391" s="199"/>
      <c r="I391" s="175">
        <v>1</v>
      </c>
      <c r="J391" s="341">
        <v>75000</v>
      </c>
      <c r="K391" s="113">
        <f t="shared" si="5"/>
        <v>75000</v>
      </c>
    </row>
    <row r="392" spans="1:11" s="131" customFormat="1" ht="12.75">
      <c r="A392" s="90"/>
      <c r="B392" s="90"/>
      <c r="C392" s="90"/>
      <c r="D392" s="90"/>
      <c r="E392" s="90"/>
      <c r="F392" s="190">
        <f t="shared" si="6"/>
        <v>25</v>
      </c>
      <c r="G392" s="177" t="str">
        <f t="shared" si="4"/>
        <v>Obat- obatan dan vaksin</v>
      </c>
      <c r="H392" s="199"/>
      <c r="I392" s="175">
        <v>1</v>
      </c>
      <c r="J392" s="283"/>
      <c r="K392" s="113">
        <f t="shared" si="5"/>
        <v>0</v>
      </c>
    </row>
    <row r="393" spans="1:11" s="131" customFormat="1" ht="13.5" thickBot="1">
      <c r="A393" s="90"/>
      <c r="B393" s="90"/>
      <c r="C393" s="90"/>
      <c r="D393" s="90"/>
      <c r="E393" s="90"/>
      <c r="F393" s="160"/>
      <c r="G393" s="161" t="s">
        <v>38</v>
      </c>
      <c r="H393" s="161"/>
      <c r="I393" s="180"/>
      <c r="J393" s="180"/>
      <c r="K393" s="181">
        <f>SUM(K368:K380)</f>
        <v>1675000</v>
      </c>
    </row>
    <row r="394" spans="1:11" s="131" customFormat="1" ht="14.25" thickBot="1" thickTop="1">
      <c r="A394" s="90"/>
      <c r="B394" s="90"/>
      <c r="C394" s="90"/>
      <c r="D394" s="15" t="s">
        <v>125</v>
      </c>
      <c r="E394" s="90"/>
      <c r="F394" s="90"/>
      <c r="G394" s="90"/>
      <c r="H394" s="90"/>
      <c r="I394" s="34"/>
      <c r="J394" s="34"/>
      <c r="K394" s="182">
        <f>12*K393</f>
        <v>20100000</v>
      </c>
    </row>
    <row r="395" spans="1:11" s="131" customFormat="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138"/>
    </row>
    <row r="396" spans="1:11" s="131" customFormat="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138"/>
    </row>
    <row r="397" spans="1:11" s="131" customFormat="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138"/>
    </row>
    <row r="398" spans="1:11" s="131" customFormat="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138"/>
    </row>
    <row r="399" spans="1:11" s="131" customFormat="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138"/>
    </row>
    <row r="400" spans="1:11" s="131" customFormat="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138"/>
    </row>
    <row r="401" spans="1:11" s="131" customFormat="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138"/>
    </row>
    <row r="402" spans="1:11" s="131" customFormat="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138"/>
    </row>
    <row r="403" spans="1:11" s="131" customFormat="1" ht="12.75">
      <c r="A403" s="90"/>
      <c r="B403" s="90" t="s">
        <v>126</v>
      </c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s="131" customFormat="1" ht="12.75">
      <c r="A404" s="90"/>
      <c r="B404" s="373" t="s">
        <v>127</v>
      </c>
      <c r="C404" s="358"/>
      <c r="D404" s="374"/>
      <c r="E404" s="373" t="s">
        <v>128</v>
      </c>
      <c r="F404" s="374"/>
      <c r="G404" s="90"/>
      <c r="H404" s="373" t="s">
        <v>127</v>
      </c>
      <c r="I404" s="374"/>
      <c r="J404" s="373" t="s">
        <v>128</v>
      </c>
      <c r="K404" s="374"/>
    </row>
    <row r="405" spans="1:11" s="131" customFormat="1" ht="12.75">
      <c r="A405" s="90"/>
      <c r="B405" s="214"/>
      <c r="C405" s="212"/>
      <c r="D405" s="212"/>
      <c r="E405" s="214"/>
      <c r="F405" s="213"/>
      <c r="G405" s="90"/>
      <c r="H405" s="214"/>
      <c r="I405" s="212"/>
      <c r="J405" s="214"/>
      <c r="K405" s="213"/>
    </row>
    <row r="406" spans="1:11" s="131" customFormat="1" ht="12.75">
      <c r="A406" s="90"/>
      <c r="B406" s="214"/>
      <c r="C406" s="212"/>
      <c r="D406" s="212"/>
      <c r="E406" s="214"/>
      <c r="F406" s="213"/>
      <c r="G406" s="90"/>
      <c r="H406" s="214"/>
      <c r="I406" s="212"/>
      <c r="J406" s="214"/>
      <c r="K406" s="213"/>
    </row>
    <row r="407" spans="1:11" s="131" customFormat="1" ht="12.75">
      <c r="A407" s="90"/>
      <c r="B407" s="241"/>
      <c r="C407" s="207"/>
      <c r="D407" s="207"/>
      <c r="E407" s="241"/>
      <c r="F407" s="242"/>
      <c r="G407" s="90"/>
      <c r="H407" s="241"/>
      <c r="I407" s="207"/>
      <c r="J407" s="241"/>
      <c r="K407" s="242"/>
    </row>
    <row r="408" spans="1:11" s="131" customFormat="1" ht="12.75">
      <c r="A408" s="90"/>
      <c r="B408" s="90"/>
      <c r="C408" s="90"/>
      <c r="D408" s="90"/>
      <c r="E408" s="90"/>
      <c r="F408" s="172"/>
      <c r="G408" s="173"/>
      <c r="H408" s="217"/>
      <c r="I408" s="173"/>
      <c r="J408" s="217"/>
      <c r="K408" s="127"/>
    </row>
    <row r="409" spans="1:11" s="131" customFormat="1" ht="12.75">
      <c r="A409" s="90" t="s">
        <v>129</v>
      </c>
      <c r="B409" s="90" t="s">
        <v>130</v>
      </c>
      <c r="C409" s="90"/>
      <c r="D409" s="90"/>
      <c r="E409" s="90"/>
      <c r="F409" s="172" t="s">
        <v>131</v>
      </c>
      <c r="G409" s="173"/>
      <c r="H409" s="98" t="s">
        <v>260</v>
      </c>
      <c r="I409" s="99" t="s">
        <v>261</v>
      </c>
      <c r="J409" s="98" t="s">
        <v>262</v>
      </c>
      <c r="K409" s="100" t="s">
        <v>263</v>
      </c>
    </row>
    <row r="410" spans="1:11" s="131" customFormat="1" ht="12.75">
      <c r="A410" s="90"/>
      <c r="B410" s="90"/>
      <c r="C410" s="90"/>
      <c r="D410" s="90"/>
      <c r="E410" s="90"/>
      <c r="F410" s="172" t="s">
        <v>132</v>
      </c>
      <c r="G410" s="173"/>
      <c r="H410" s="58">
        <v>2</v>
      </c>
      <c r="I410" s="343" t="s">
        <v>244</v>
      </c>
      <c r="J410" s="58"/>
      <c r="K410" s="125">
        <f>K127</f>
        <v>1350000</v>
      </c>
    </row>
    <row r="411" spans="1:11" s="131" customFormat="1" ht="13.5" thickBot="1">
      <c r="A411" s="90"/>
      <c r="B411" s="90"/>
      <c r="C411" s="90"/>
      <c r="D411" s="90"/>
      <c r="E411" s="90"/>
      <c r="F411" s="172" t="s">
        <v>133</v>
      </c>
      <c r="G411" s="173"/>
      <c r="H411" s="243"/>
      <c r="I411" s="175"/>
      <c r="J411" s="58"/>
      <c r="K411" s="244"/>
    </row>
    <row r="412" spans="1:11" s="131" customFormat="1" ht="14.25" thickBot="1" thickTop="1">
      <c r="A412" s="90"/>
      <c r="B412" s="90"/>
      <c r="C412" s="90"/>
      <c r="D412" s="90"/>
      <c r="E412" s="90"/>
      <c r="F412" s="160"/>
      <c r="G412" s="161" t="s">
        <v>38</v>
      </c>
      <c r="H412" s="161"/>
      <c r="I412" s="161"/>
      <c r="J412" s="180"/>
      <c r="K412" s="181">
        <f>K410</f>
        <v>1350000</v>
      </c>
    </row>
    <row r="413" spans="1:11" s="131" customFormat="1" ht="14.25" thickBot="1" thickTop="1">
      <c r="A413" s="90"/>
      <c r="B413" s="90"/>
      <c r="C413" s="90"/>
      <c r="D413" s="15" t="s">
        <v>134</v>
      </c>
      <c r="E413" s="90"/>
      <c r="F413" s="90"/>
      <c r="G413" s="90"/>
      <c r="H413" s="90"/>
      <c r="I413" s="90"/>
      <c r="J413" s="34"/>
      <c r="K413" s="182">
        <f>12*K412</f>
        <v>16200000</v>
      </c>
    </row>
    <row r="414" spans="1:11" s="131" customFormat="1" ht="12.75">
      <c r="A414" s="90"/>
      <c r="B414" s="90"/>
      <c r="C414" s="90"/>
      <c r="D414" s="15"/>
      <c r="E414" s="90"/>
      <c r="F414" s="90"/>
      <c r="G414" s="90"/>
      <c r="H414" s="90"/>
      <c r="I414" s="90"/>
      <c r="J414" s="34"/>
      <c r="K414" s="18"/>
    </row>
    <row r="415" spans="1:11" s="131" customFormat="1" ht="12.75">
      <c r="A415" s="90" t="s">
        <v>135</v>
      </c>
      <c r="B415" s="90" t="s">
        <v>382</v>
      </c>
      <c r="C415" s="90"/>
      <c r="D415" s="90"/>
      <c r="E415" s="90"/>
      <c r="F415" s="90"/>
      <c r="G415" s="190" t="s">
        <v>116</v>
      </c>
      <c r="H415" s="98" t="s">
        <v>137</v>
      </c>
      <c r="I415" s="99" t="s">
        <v>236</v>
      </c>
      <c r="J415" s="98" t="s">
        <v>314</v>
      </c>
      <c r="K415" s="245" t="s">
        <v>315</v>
      </c>
    </row>
    <row r="416" spans="1:11" s="131" customFormat="1" ht="13.5" thickBot="1">
      <c r="A416" s="90"/>
      <c r="B416" s="90" t="s">
        <v>136</v>
      </c>
      <c r="C416" s="90"/>
      <c r="D416" s="90"/>
      <c r="E416" s="90"/>
      <c r="F416" s="90"/>
      <c r="G416" s="346">
        <v>100000</v>
      </c>
      <c r="H416" s="347">
        <v>100000</v>
      </c>
      <c r="I416" s="348">
        <v>100000</v>
      </c>
      <c r="J416" s="347">
        <v>300000</v>
      </c>
      <c r="K416" s="349">
        <v>100000</v>
      </c>
    </row>
    <row r="417" spans="1:11" s="131" customFormat="1" ht="14.25" thickBot="1" thickTop="1">
      <c r="A417" s="90"/>
      <c r="B417" s="90" t="s">
        <v>41</v>
      </c>
      <c r="C417" s="90"/>
      <c r="D417" s="90"/>
      <c r="E417" s="90"/>
      <c r="F417" s="90"/>
      <c r="G417" s="160" t="s">
        <v>38</v>
      </c>
      <c r="H417" s="161"/>
      <c r="I417" s="161"/>
      <c r="J417" s="161"/>
      <c r="K417" s="181">
        <f>SUM(G416:K416)</f>
        <v>700000</v>
      </c>
    </row>
    <row r="418" spans="1:11" s="131" customFormat="1" ht="14.25" thickBot="1" thickTop="1">
      <c r="A418" s="90"/>
      <c r="B418" s="90"/>
      <c r="C418" s="90"/>
      <c r="D418" s="15" t="s">
        <v>383</v>
      </c>
      <c r="E418" s="90"/>
      <c r="F418" s="90"/>
      <c r="G418" s="90"/>
      <c r="H418" s="90"/>
      <c r="I418" s="90"/>
      <c r="J418" s="90"/>
      <c r="K418" s="182">
        <f>12*K417</f>
        <v>8400000</v>
      </c>
    </row>
    <row r="419" spans="1:11" s="131" customFormat="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s="131" customFormat="1" ht="12.75">
      <c r="A420" s="90" t="s">
        <v>138</v>
      </c>
      <c r="B420" s="90" t="s">
        <v>139</v>
      </c>
      <c r="C420" s="90"/>
      <c r="D420" s="90"/>
      <c r="E420" s="90"/>
      <c r="F420" s="166" t="s">
        <v>52</v>
      </c>
      <c r="G420" s="370" t="s">
        <v>74</v>
      </c>
      <c r="H420" s="372"/>
      <c r="I420" s="167" t="s">
        <v>38</v>
      </c>
      <c r="J420" s="166" t="s">
        <v>446</v>
      </c>
      <c r="K420" s="169" t="s">
        <v>38</v>
      </c>
    </row>
    <row r="421" spans="1:11" s="131" customFormat="1" ht="12.75">
      <c r="A421" s="90"/>
      <c r="B421" s="90" t="s">
        <v>122</v>
      </c>
      <c r="C421" s="90"/>
      <c r="D421" s="90"/>
      <c r="E421" s="90"/>
      <c r="F421" s="160"/>
      <c r="G421" s="160"/>
      <c r="H421" s="163"/>
      <c r="I421" s="161"/>
      <c r="J421" s="201" t="s">
        <v>239</v>
      </c>
      <c r="K421" s="184" t="s">
        <v>257</v>
      </c>
    </row>
    <row r="422" spans="1:11" s="131" customFormat="1" ht="12.75">
      <c r="A422" s="90"/>
      <c r="B422" s="90" t="s">
        <v>123</v>
      </c>
      <c r="C422" s="90"/>
      <c r="D422" s="90"/>
      <c r="E422" s="90"/>
      <c r="F422" s="172">
        <v>1</v>
      </c>
      <c r="G422" s="185" t="s">
        <v>437</v>
      </c>
      <c r="H422" s="223"/>
      <c r="I422" s="175">
        <v>5</v>
      </c>
      <c r="J422" s="174">
        <v>10000</v>
      </c>
      <c r="K422" s="113">
        <f>+I422*J422</f>
        <v>50000</v>
      </c>
    </row>
    <row r="423" spans="1:11" s="131" customFormat="1" ht="12.75">
      <c r="A423" s="90"/>
      <c r="B423" s="90" t="s">
        <v>140</v>
      </c>
      <c r="C423" s="90"/>
      <c r="D423" s="90"/>
      <c r="E423" s="90"/>
      <c r="F423" s="172">
        <v>2</v>
      </c>
      <c r="G423" s="185"/>
      <c r="H423" s="223"/>
      <c r="I423" s="175"/>
      <c r="J423" s="174"/>
      <c r="K423" s="113">
        <f>+I423*J423</f>
        <v>0</v>
      </c>
    </row>
    <row r="424" spans="1:11" s="131" customFormat="1" ht="12.75">
      <c r="A424" s="90"/>
      <c r="B424" s="90"/>
      <c r="C424" s="90"/>
      <c r="D424" s="90"/>
      <c r="E424" s="90"/>
      <c r="F424" s="172">
        <v>3</v>
      </c>
      <c r="G424" s="185"/>
      <c r="H424" s="223"/>
      <c r="I424" s="175"/>
      <c r="J424" s="174"/>
      <c r="K424" s="113">
        <f>+I424*J424</f>
        <v>0</v>
      </c>
    </row>
    <row r="425" spans="1:11" s="131" customFormat="1" ht="12.75">
      <c r="A425" s="90"/>
      <c r="B425" s="90"/>
      <c r="C425" s="90"/>
      <c r="D425" s="90"/>
      <c r="E425" s="90"/>
      <c r="F425" s="172">
        <v>4</v>
      </c>
      <c r="G425" s="185"/>
      <c r="H425" s="223"/>
      <c r="I425" s="175"/>
      <c r="J425" s="174"/>
      <c r="K425" s="113">
        <f>+I425*J425</f>
        <v>0</v>
      </c>
    </row>
    <row r="426" spans="1:11" s="131" customFormat="1" ht="12.75">
      <c r="A426" s="90"/>
      <c r="B426" s="90"/>
      <c r="C426" s="90"/>
      <c r="D426" s="90"/>
      <c r="E426" s="90"/>
      <c r="F426" s="172">
        <v>5</v>
      </c>
      <c r="G426" s="185"/>
      <c r="H426" s="223"/>
      <c r="I426" s="175"/>
      <c r="J426" s="174"/>
      <c r="K426" s="113">
        <f>+I426*J426</f>
        <v>0</v>
      </c>
    </row>
    <row r="427" spans="1:11" s="131" customFormat="1" ht="13.5" thickBot="1">
      <c r="A427" s="90"/>
      <c r="B427" s="90"/>
      <c r="C427" s="90"/>
      <c r="D427" s="90"/>
      <c r="E427" s="90"/>
      <c r="F427" s="160"/>
      <c r="G427" s="161" t="s">
        <v>38</v>
      </c>
      <c r="H427" s="161"/>
      <c r="I427" s="180"/>
      <c r="J427" s="180"/>
      <c r="K427" s="181">
        <f>SUM(K422:K426)</f>
        <v>50000</v>
      </c>
    </row>
    <row r="428" spans="1:11" s="131" customFormat="1" ht="14.25" thickBot="1" thickTop="1">
      <c r="A428" s="90"/>
      <c r="B428" s="90"/>
      <c r="C428" s="90"/>
      <c r="D428" s="15" t="s">
        <v>264</v>
      </c>
      <c r="E428" s="90"/>
      <c r="F428" s="90"/>
      <c r="G428" s="90"/>
      <c r="H428" s="90"/>
      <c r="I428" s="34"/>
      <c r="J428" s="34"/>
      <c r="K428" s="182">
        <f>12*K427</f>
        <v>600000</v>
      </c>
    </row>
    <row r="429" spans="1:11" s="131" customFormat="1" ht="12.75">
      <c r="A429" s="90" t="s">
        <v>141</v>
      </c>
      <c r="B429" s="90" t="s">
        <v>438</v>
      </c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s="131" customFormat="1" ht="12.75">
      <c r="A430" s="90"/>
      <c r="B430" s="246"/>
      <c r="C430" s="246"/>
      <c r="D430" s="246"/>
      <c r="E430" s="246"/>
      <c r="F430" s="246"/>
      <c r="G430" s="246"/>
      <c r="H430" s="246"/>
      <c r="I430" s="246"/>
      <c r="J430" s="246"/>
      <c r="K430" s="246"/>
    </row>
    <row r="431" spans="1:11" s="131" customFormat="1" ht="12.75">
      <c r="A431" s="90"/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</row>
    <row r="432" spans="1:11" s="131" customFormat="1" ht="12.75">
      <c r="A432" s="90"/>
      <c r="B432" s="246"/>
      <c r="C432" s="246"/>
      <c r="D432" s="246"/>
      <c r="E432" s="246"/>
      <c r="F432" s="246"/>
      <c r="G432" s="246"/>
      <c r="H432" s="246"/>
      <c r="I432" s="246"/>
      <c r="J432" s="246"/>
      <c r="K432" s="246"/>
    </row>
    <row r="433" spans="1:11" s="131" customFormat="1" ht="12.75">
      <c r="A433" s="90"/>
      <c r="B433" s="246"/>
      <c r="C433" s="246"/>
      <c r="D433" s="246"/>
      <c r="E433" s="246"/>
      <c r="F433" s="246"/>
      <c r="G433" s="246"/>
      <c r="H433" s="246"/>
      <c r="I433" s="246"/>
      <c r="J433" s="246"/>
      <c r="K433" s="246"/>
    </row>
    <row r="434" spans="1:11" s="131" customFormat="1" ht="12.75">
      <c r="A434" s="90"/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</row>
    <row r="435" spans="1:11" s="131" customFormat="1" ht="12.75">
      <c r="A435" s="90"/>
      <c r="B435" s="246"/>
      <c r="C435" s="246"/>
      <c r="D435" s="246"/>
      <c r="E435" s="246"/>
      <c r="F435" s="246"/>
      <c r="G435" s="246"/>
      <c r="H435" s="246"/>
      <c r="I435" s="246"/>
      <c r="J435" s="246"/>
      <c r="K435" s="246"/>
    </row>
    <row r="436" spans="1:11" s="131" customFormat="1" ht="12.75">
      <c r="A436" s="90"/>
      <c r="B436" s="246"/>
      <c r="C436" s="246"/>
      <c r="D436" s="246"/>
      <c r="E436" s="246"/>
      <c r="F436" s="246"/>
      <c r="G436" s="246"/>
      <c r="H436" s="246"/>
      <c r="I436" s="246"/>
      <c r="J436" s="246"/>
      <c r="K436" s="246"/>
    </row>
    <row r="437" spans="1:11" s="131" customFormat="1" ht="12.75">
      <c r="A437" s="90"/>
      <c r="B437" s="246"/>
      <c r="C437" s="246"/>
      <c r="D437" s="246"/>
      <c r="E437" s="246"/>
      <c r="F437" s="246"/>
      <c r="G437" s="246"/>
      <c r="H437" s="246"/>
      <c r="I437" s="246"/>
      <c r="J437" s="246"/>
      <c r="K437" s="246"/>
    </row>
    <row r="438" spans="1:11" s="131" customFormat="1" ht="12.75">
      <c r="A438" s="90"/>
      <c r="B438" s="246"/>
      <c r="C438" s="246"/>
      <c r="D438" s="246"/>
      <c r="E438" s="246"/>
      <c r="F438" s="246"/>
      <c r="G438" s="246"/>
      <c r="H438" s="246"/>
      <c r="I438" s="246"/>
      <c r="J438" s="246"/>
      <c r="K438" s="246"/>
    </row>
    <row r="439" spans="1:11" s="131" customFormat="1" ht="12.75">
      <c r="A439" s="90"/>
      <c r="B439" s="246"/>
      <c r="C439" s="246"/>
      <c r="D439" s="246"/>
      <c r="E439" s="246"/>
      <c r="F439" s="246"/>
      <c r="G439" s="246"/>
      <c r="H439" s="246"/>
      <c r="I439" s="246"/>
      <c r="J439" s="246"/>
      <c r="K439" s="246"/>
    </row>
    <row r="440" spans="1:11" s="131" customFormat="1" ht="12.75">
      <c r="A440" s="90"/>
      <c r="B440" s="246"/>
      <c r="C440" s="246"/>
      <c r="D440" s="246"/>
      <c r="E440" s="246"/>
      <c r="F440" s="246"/>
      <c r="G440" s="246"/>
      <c r="H440" s="246"/>
      <c r="I440" s="246"/>
      <c r="J440" s="246"/>
      <c r="K440" s="246"/>
    </row>
    <row r="441" spans="1:11" s="131" customFormat="1" ht="12.75">
      <c r="A441" s="90"/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</row>
    <row r="442" spans="1:11" s="131" customFormat="1" ht="12.75">
      <c r="A442" s="90"/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</row>
    <row r="443" spans="1:11" s="131" customFormat="1" ht="12.75">
      <c r="A443" s="90"/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</row>
    <row r="444" spans="1:11" s="131" customFormat="1" ht="12.75">
      <c r="A444" s="90"/>
      <c r="B444" s="246"/>
      <c r="C444" s="246"/>
      <c r="D444" s="246"/>
      <c r="E444" s="246"/>
      <c r="F444" s="246"/>
      <c r="G444" s="246"/>
      <c r="H444" s="246"/>
      <c r="I444" s="246"/>
      <c r="J444" s="246"/>
      <c r="K444" s="246"/>
    </row>
    <row r="445" spans="1:11" s="131" customFormat="1" ht="12.75">
      <c r="A445" s="90"/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</row>
    <row r="446" spans="1:11" s="131" customFormat="1" ht="12.75">
      <c r="A446" s="90"/>
      <c r="B446" s="246"/>
      <c r="C446" s="246"/>
      <c r="D446" s="246"/>
      <c r="E446" s="246"/>
      <c r="F446" s="246"/>
      <c r="G446" s="246"/>
      <c r="H446" s="246"/>
      <c r="I446" s="246"/>
      <c r="J446" s="246"/>
      <c r="K446" s="246"/>
    </row>
    <row r="447" spans="1:11" s="131" customFormat="1" ht="12.75">
      <c r="A447" s="90"/>
      <c r="B447" s="246"/>
      <c r="C447" s="246"/>
      <c r="D447" s="246"/>
      <c r="E447" s="246"/>
      <c r="F447" s="246"/>
      <c r="G447" s="246"/>
      <c r="H447" s="246"/>
      <c r="I447" s="246"/>
      <c r="J447" s="246"/>
      <c r="K447" s="246"/>
    </row>
    <row r="448" spans="1:11" s="131" customFormat="1" ht="12.75">
      <c r="A448" s="90"/>
      <c r="B448" s="246"/>
      <c r="C448" s="246"/>
      <c r="D448" s="246"/>
      <c r="E448" s="246"/>
      <c r="F448" s="246"/>
      <c r="G448" s="246"/>
      <c r="H448" s="246"/>
      <c r="I448" s="246"/>
      <c r="J448" s="246"/>
      <c r="K448" s="246"/>
    </row>
    <row r="449" spans="1:11" s="131" customFormat="1" ht="12.75">
      <c r="A449" s="90"/>
      <c r="B449" s="246"/>
      <c r="C449" s="246"/>
      <c r="D449" s="246"/>
      <c r="E449" s="246"/>
      <c r="F449" s="246"/>
      <c r="G449" s="246"/>
      <c r="H449" s="246"/>
      <c r="I449" s="246"/>
      <c r="J449" s="246"/>
      <c r="K449" s="246"/>
    </row>
    <row r="450" spans="1:11" s="131" customFormat="1" ht="12.75">
      <c r="A450" s="90"/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</row>
    <row r="451" spans="1:11" s="131" customFormat="1" ht="12.75">
      <c r="A451" s="90"/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</row>
    <row r="452" spans="1:11" s="131" customFormat="1" ht="12.75">
      <c r="A452" s="90"/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</row>
    <row r="453" spans="1:11" s="131" customFormat="1" ht="12.75">
      <c r="A453" s="90"/>
      <c r="B453" s="246"/>
      <c r="C453" s="246"/>
      <c r="D453" s="246"/>
      <c r="E453" s="246"/>
      <c r="F453" s="246"/>
      <c r="G453" s="246"/>
      <c r="H453" s="246"/>
      <c r="I453" s="246"/>
      <c r="J453" s="246"/>
      <c r="K453" s="246"/>
    </row>
    <row r="454" spans="1:11" s="131" customFormat="1" ht="12.75">
      <c r="A454" s="90"/>
      <c r="B454" s="246"/>
      <c r="C454" s="246"/>
      <c r="D454" s="246"/>
      <c r="E454" s="246"/>
      <c r="F454" s="246"/>
      <c r="G454" s="246"/>
      <c r="H454" s="246"/>
      <c r="I454" s="246"/>
      <c r="J454" s="246"/>
      <c r="K454" s="246"/>
    </row>
    <row r="455" spans="1:11" s="131" customFormat="1" ht="13.5" thickBot="1">
      <c r="A455" s="90"/>
      <c r="B455" s="247"/>
      <c r="C455" s="247"/>
      <c r="D455" s="247"/>
      <c r="E455" s="247"/>
      <c r="F455" s="247"/>
      <c r="G455" s="247"/>
      <c r="H455" s="247"/>
      <c r="I455" s="247"/>
      <c r="J455" s="247"/>
      <c r="K455" s="247"/>
    </row>
    <row r="456" spans="1:11" s="131" customFormat="1" ht="18.75" thickBot="1">
      <c r="A456" s="294" t="s">
        <v>142</v>
      </c>
      <c r="B456" s="132"/>
      <c r="C456" s="132"/>
      <c r="D456" s="132"/>
      <c r="E456" s="133"/>
      <c r="F456" s="90"/>
      <c r="G456" s="90"/>
      <c r="H456" s="90"/>
      <c r="I456" s="90"/>
      <c r="J456" s="90"/>
      <c r="K456" s="90"/>
    </row>
    <row r="457" spans="1:11" s="131" customFormat="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s="131" customFormat="1" ht="12.75">
      <c r="A458" s="15" t="s">
        <v>143</v>
      </c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s="131" customFormat="1" ht="12.75">
      <c r="A459" s="90" t="s">
        <v>144</v>
      </c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s="131" customFormat="1" ht="12.75">
      <c r="A460" s="134" t="s">
        <v>145</v>
      </c>
      <c r="B460" s="135"/>
      <c r="C460" s="135"/>
      <c r="D460" s="135"/>
      <c r="E460" s="135"/>
      <c r="F460" s="135"/>
      <c r="G460" s="135"/>
      <c r="H460" s="135"/>
      <c r="I460" s="166" t="s">
        <v>209</v>
      </c>
      <c r="J460" s="373" t="s">
        <v>265</v>
      </c>
      <c r="K460" s="374"/>
    </row>
    <row r="461" spans="1:11" s="131" customFormat="1" ht="12.75">
      <c r="A461" s="137"/>
      <c r="B461" s="138"/>
      <c r="C461" s="138"/>
      <c r="D461" s="138"/>
      <c r="E461" s="138"/>
      <c r="F461" s="138"/>
      <c r="G461" s="138"/>
      <c r="H461" s="138"/>
      <c r="I461" s="137"/>
      <c r="J461" s="169" t="s">
        <v>266</v>
      </c>
      <c r="K461" s="169" t="s">
        <v>268</v>
      </c>
    </row>
    <row r="462" spans="1:11" s="131" customFormat="1" ht="13.5" thickBot="1">
      <c r="A462" s="160"/>
      <c r="B462" s="161"/>
      <c r="C462" s="161"/>
      <c r="D462" s="161"/>
      <c r="E462" s="161"/>
      <c r="F462" s="161"/>
      <c r="G462" s="161"/>
      <c r="H462" s="161"/>
      <c r="I462" s="137"/>
      <c r="J462" s="184" t="s">
        <v>267</v>
      </c>
      <c r="K462" s="183"/>
    </row>
    <row r="463" spans="1:11" s="296" customFormat="1" ht="12.75">
      <c r="A463" s="301" t="s">
        <v>59</v>
      </c>
      <c r="B463" s="297" t="s">
        <v>146</v>
      </c>
      <c r="C463" s="297"/>
      <c r="D463" s="297"/>
      <c r="E463" s="297"/>
      <c r="F463" s="297"/>
      <c r="G463" s="297"/>
      <c r="H463" s="297"/>
      <c r="I463" s="302"/>
      <c r="J463" s="350"/>
      <c r="K463" s="304"/>
    </row>
    <row r="464" spans="1:12" s="131" customFormat="1" ht="13.5" thickBot="1">
      <c r="A464" s="160"/>
      <c r="B464" s="161">
        <v>1</v>
      </c>
      <c r="C464" s="161" t="s">
        <v>115</v>
      </c>
      <c r="D464" s="161"/>
      <c r="E464" s="161"/>
      <c r="F464" s="161"/>
      <c r="G464" s="161"/>
      <c r="H464" s="161"/>
      <c r="I464" s="240">
        <f>+K295</f>
        <v>0</v>
      </c>
      <c r="J464" s="249"/>
      <c r="K464" s="117">
        <f>+I464-J464</f>
        <v>0</v>
      </c>
      <c r="L464" s="248"/>
    </row>
    <row r="465" spans="1:12" s="131" customFormat="1" ht="13.5" thickBot="1">
      <c r="A465" s="172"/>
      <c r="B465" s="173">
        <v>2</v>
      </c>
      <c r="C465" s="173" t="s">
        <v>116</v>
      </c>
      <c r="D465" s="173"/>
      <c r="E465" s="173"/>
      <c r="F465" s="173"/>
      <c r="G465" s="173"/>
      <c r="H465" s="173"/>
      <c r="I465" s="182">
        <f>+K300</f>
        <v>0</v>
      </c>
      <c r="J465" s="61"/>
      <c r="K465" s="117">
        <f>+I465-J465</f>
        <v>0</v>
      </c>
      <c r="L465" s="248"/>
    </row>
    <row r="466" spans="1:11" s="131" customFormat="1" ht="13.5" thickBot="1">
      <c r="A466" s="172"/>
      <c r="B466" s="173">
        <v>3</v>
      </c>
      <c r="C466" s="173" t="s">
        <v>147</v>
      </c>
      <c r="D466" s="173"/>
      <c r="E466" s="173"/>
      <c r="F466" s="173"/>
      <c r="G466" s="173"/>
      <c r="H466" s="173"/>
      <c r="I466" s="182">
        <f>+K327</f>
        <v>25645000</v>
      </c>
      <c r="J466" s="61">
        <v>25000000</v>
      </c>
      <c r="K466" s="117">
        <f>+I466-J466</f>
        <v>645000</v>
      </c>
    </row>
    <row r="467" spans="1:11" s="131" customFormat="1" ht="13.5" thickBot="1">
      <c r="A467" s="172"/>
      <c r="B467" s="173">
        <v>4</v>
      </c>
      <c r="C467" s="173" t="s">
        <v>148</v>
      </c>
      <c r="D467" s="173"/>
      <c r="E467" s="173"/>
      <c r="F467" s="173"/>
      <c r="G467" s="173"/>
      <c r="H467" s="173"/>
      <c r="I467" s="182">
        <f>+K334</f>
        <v>1850000</v>
      </c>
      <c r="J467" s="61"/>
      <c r="K467" s="117">
        <f>+I467-J467</f>
        <v>1850000</v>
      </c>
    </row>
    <row r="468" spans="1:11" s="131" customFormat="1" ht="13.5" thickBot="1">
      <c r="A468" s="172"/>
      <c r="B468" s="173">
        <v>5</v>
      </c>
      <c r="C468" s="173" t="s">
        <v>118</v>
      </c>
      <c r="D468" s="173"/>
      <c r="E468" s="173"/>
      <c r="F468" s="173"/>
      <c r="G468" s="173"/>
      <c r="H468" s="173"/>
      <c r="I468" s="182">
        <f>+K339</f>
        <v>0</v>
      </c>
      <c r="J468" s="61"/>
      <c r="K468" s="117">
        <f>+I468-J468</f>
        <v>0</v>
      </c>
    </row>
    <row r="469" spans="1:11" s="131" customFormat="1" ht="13.5" thickBot="1">
      <c r="A469" s="160"/>
      <c r="B469" s="161"/>
      <c r="C469" s="161" t="s">
        <v>149</v>
      </c>
      <c r="D469" s="161"/>
      <c r="E469" s="161"/>
      <c r="F469" s="161"/>
      <c r="G469" s="161"/>
      <c r="H469" s="250"/>
      <c r="I469" s="182">
        <f>SUM(I464:I468)</f>
        <v>27495000</v>
      </c>
      <c r="J469" s="182">
        <f>SUM(J464:J468)</f>
        <v>25000000</v>
      </c>
      <c r="K469" s="251">
        <f>SUM(K464:K468)</f>
        <v>2495000</v>
      </c>
    </row>
    <row r="470" spans="1:11" s="296" customFormat="1" ht="13.5" thickBot="1">
      <c r="A470" s="301" t="s">
        <v>9</v>
      </c>
      <c r="B470" s="297" t="s">
        <v>150</v>
      </c>
      <c r="C470" s="297"/>
      <c r="D470" s="297"/>
      <c r="E470" s="297"/>
      <c r="F470" s="297"/>
      <c r="G470" s="297"/>
      <c r="H470" s="297"/>
      <c r="I470" s="305"/>
      <c r="J470" s="323"/>
      <c r="K470" s="320"/>
    </row>
    <row r="471" spans="1:11" s="131" customFormat="1" ht="13.5" thickBot="1">
      <c r="A471" s="137"/>
      <c r="B471" s="138">
        <v>1</v>
      </c>
      <c r="C471" s="138" t="s">
        <v>151</v>
      </c>
      <c r="D471" s="138"/>
      <c r="E471" s="138"/>
      <c r="F471" s="138"/>
      <c r="G471" s="138"/>
      <c r="H471" s="310"/>
      <c r="I471" s="319">
        <f>+K154</f>
        <v>3000000</v>
      </c>
      <c r="J471" s="324">
        <v>3000000</v>
      </c>
      <c r="K471" s="250"/>
    </row>
    <row r="472" spans="1:11" s="131" customFormat="1" ht="13.5" thickBot="1">
      <c r="A472" s="137"/>
      <c r="B472" s="138">
        <v>2</v>
      </c>
      <c r="C472" s="138" t="s">
        <v>152</v>
      </c>
      <c r="D472" s="138"/>
      <c r="E472" s="138"/>
      <c r="F472" s="138"/>
      <c r="G472" s="138"/>
      <c r="H472" s="310"/>
      <c r="I472" s="319">
        <f>+K192</f>
        <v>48500000</v>
      </c>
      <c r="J472" s="324">
        <v>15995000</v>
      </c>
      <c r="K472" s="322">
        <f>+I472-J472</f>
        <v>32505000</v>
      </c>
    </row>
    <row r="473" spans="1:11" s="131" customFormat="1" ht="13.5" thickBot="1">
      <c r="A473" s="137"/>
      <c r="B473" s="138"/>
      <c r="C473" s="138"/>
      <c r="D473" s="138"/>
      <c r="E473" s="138"/>
      <c r="F473" s="138"/>
      <c r="G473" s="138"/>
      <c r="H473" s="18"/>
      <c r="I473" s="309"/>
      <c r="J473" s="325"/>
      <c r="K473" s="250"/>
    </row>
    <row r="474" spans="1:11" s="131" customFormat="1" ht="13.5" thickBot="1">
      <c r="A474" s="137"/>
      <c r="B474" s="138"/>
      <c r="C474" s="138"/>
      <c r="D474" s="138"/>
      <c r="E474" s="138"/>
      <c r="F474" s="138"/>
      <c r="G474" s="138"/>
      <c r="H474" s="18"/>
      <c r="I474" s="309"/>
      <c r="J474" s="326"/>
      <c r="K474" s="321"/>
    </row>
    <row r="475" spans="1:11" s="131" customFormat="1" ht="13.5" thickBot="1">
      <c r="A475" s="160"/>
      <c r="B475" s="161"/>
      <c r="C475" s="161" t="s">
        <v>153</v>
      </c>
      <c r="D475" s="161"/>
      <c r="E475" s="161"/>
      <c r="F475" s="161"/>
      <c r="G475" s="161"/>
      <c r="H475" s="161"/>
      <c r="I475" s="240">
        <f>SUM(I471:I472)</f>
        <v>51500000</v>
      </c>
      <c r="J475" s="180">
        <f>+I475-K475</f>
        <v>18995000</v>
      </c>
      <c r="K475" s="182">
        <f>SUM(K471:K472)</f>
        <v>32505000</v>
      </c>
    </row>
    <row r="476" spans="1:13" s="296" customFormat="1" ht="13.5" thickBot="1">
      <c r="A476" s="17" t="s">
        <v>16</v>
      </c>
      <c r="B476" s="21" t="s">
        <v>154</v>
      </c>
      <c r="C476" s="21"/>
      <c r="D476" s="21"/>
      <c r="E476" s="21"/>
      <c r="F476" s="21"/>
      <c r="G476" s="21"/>
      <c r="H476" s="21"/>
      <c r="I476" s="305">
        <f>+I469+I475</f>
        <v>78995000</v>
      </c>
      <c r="J476" s="308">
        <f>+J469+J475</f>
        <v>43995000</v>
      </c>
      <c r="K476" s="305">
        <f>+K469+K475</f>
        <v>35000000</v>
      </c>
      <c r="M476" s="15">
        <f>+K476-35000000</f>
        <v>0</v>
      </c>
    </row>
    <row r="477" spans="1:11" s="131" customFormat="1" ht="12.75" customHeight="1">
      <c r="A477" s="137"/>
      <c r="B477" s="138"/>
      <c r="C477" s="138"/>
      <c r="D477" s="138"/>
      <c r="E477" s="138"/>
      <c r="F477" s="138"/>
      <c r="G477" s="138"/>
      <c r="H477" s="138"/>
      <c r="I477" s="137"/>
      <c r="J477" s="138"/>
      <c r="K477" s="159"/>
    </row>
    <row r="478" spans="1:11" s="296" customFormat="1" ht="12.75">
      <c r="A478" s="301" t="s">
        <v>20</v>
      </c>
      <c r="B478" s="297" t="s">
        <v>155</v>
      </c>
      <c r="C478" s="297"/>
      <c r="D478" s="297"/>
      <c r="E478" s="297"/>
      <c r="F478" s="297"/>
      <c r="G478" s="297"/>
      <c r="H478" s="297"/>
      <c r="I478" s="301"/>
      <c r="J478" s="297"/>
      <c r="K478" s="303"/>
    </row>
    <row r="479" spans="1:11" s="131" customFormat="1" ht="12.75">
      <c r="A479" s="137"/>
      <c r="B479" s="138" t="s">
        <v>129</v>
      </c>
      <c r="C479" s="138" t="s">
        <v>308</v>
      </c>
      <c r="D479" s="138"/>
      <c r="E479" s="138"/>
      <c r="F479" s="138"/>
      <c r="G479" s="18"/>
      <c r="H479" s="18"/>
      <c r="I479" s="252"/>
      <c r="J479" s="18"/>
      <c r="K479" s="116"/>
    </row>
    <row r="480" spans="1:11" s="131" customFormat="1" ht="12.75">
      <c r="A480" s="137"/>
      <c r="B480" s="138"/>
      <c r="C480" s="138">
        <v>1</v>
      </c>
      <c r="D480" s="138" t="s">
        <v>157</v>
      </c>
      <c r="E480" s="138"/>
      <c r="F480" s="138"/>
      <c r="G480" s="18"/>
      <c r="H480" s="253">
        <f>+K394</f>
        <v>20100000</v>
      </c>
      <c r="I480" s="252"/>
      <c r="J480" s="18"/>
      <c r="K480" s="116"/>
    </row>
    <row r="481" spans="1:11" s="131" customFormat="1" ht="12.75">
      <c r="A481" s="137"/>
      <c r="B481" s="138"/>
      <c r="C481" s="138">
        <v>2</v>
      </c>
      <c r="D481" s="138" t="s">
        <v>158</v>
      </c>
      <c r="E481" s="138"/>
      <c r="F481" s="138"/>
      <c r="G481" s="18"/>
      <c r="H481" s="253">
        <f>+K413</f>
        <v>16200000</v>
      </c>
      <c r="I481" s="252"/>
      <c r="J481" s="18"/>
      <c r="K481" s="116"/>
    </row>
    <row r="482" spans="1:11" s="131" customFormat="1" ht="13.5" thickBot="1">
      <c r="A482" s="137"/>
      <c r="B482" s="138"/>
      <c r="C482" s="138">
        <v>3</v>
      </c>
      <c r="D482" s="138" t="s">
        <v>424</v>
      </c>
      <c r="E482" s="138"/>
      <c r="F482" s="138"/>
      <c r="G482" s="18"/>
      <c r="H482" s="254">
        <f>+K417</f>
        <v>700000</v>
      </c>
      <c r="I482" s="252"/>
      <c r="J482" s="18"/>
      <c r="K482" s="116"/>
    </row>
    <row r="483" spans="1:11" s="131" customFormat="1" ht="13.5" thickBot="1">
      <c r="A483" s="137"/>
      <c r="B483" s="138"/>
      <c r="C483" s="138" t="s">
        <v>309</v>
      </c>
      <c r="D483" s="138"/>
      <c r="E483" s="138"/>
      <c r="F483" s="138"/>
      <c r="G483" s="18"/>
      <c r="H483" s="255">
        <f>SUM(H480:H482)</f>
        <v>37000000</v>
      </c>
      <c r="I483" s="18"/>
      <c r="J483" s="18"/>
      <c r="K483" s="116"/>
    </row>
    <row r="484" spans="1:11" s="131" customFormat="1" ht="12.75">
      <c r="A484" s="137"/>
      <c r="B484" s="138" t="s">
        <v>159</v>
      </c>
      <c r="C484" s="138" t="s">
        <v>160</v>
      </c>
      <c r="D484" s="138"/>
      <c r="E484" s="138"/>
      <c r="F484" s="138"/>
      <c r="G484" s="18"/>
      <c r="H484" s="18"/>
      <c r="I484" s="252"/>
      <c r="J484" s="18"/>
      <c r="K484" s="116"/>
    </row>
    <row r="485" spans="1:11" s="131" customFormat="1" ht="12.75">
      <c r="A485" s="137"/>
      <c r="B485" s="138"/>
      <c r="C485" s="138">
        <v>1</v>
      </c>
      <c r="D485" s="138" t="s">
        <v>161</v>
      </c>
      <c r="E485" s="138"/>
      <c r="F485" s="138"/>
      <c r="G485" s="18"/>
      <c r="H485" s="256">
        <f>+K118</f>
        <v>24000000</v>
      </c>
      <c r="I485" s="252"/>
      <c r="J485" s="18"/>
      <c r="K485" s="116"/>
    </row>
    <row r="486" spans="1:11" s="131" customFormat="1" ht="12.75">
      <c r="A486" s="137"/>
      <c r="B486" s="138"/>
      <c r="C486" s="138">
        <v>2</v>
      </c>
      <c r="D486" s="138" t="s">
        <v>162</v>
      </c>
      <c r="E486" s="138"/>
      <c r="F486" s="23"/>
      <c r="G486" s="18"/>
      <c r="H486" s="256">
        <f>+K129</f>
        <v>16200000</v>
      </c>
      <c r="I486" s="252"/>
      <c r="J486" s="18"/>
      <c r="K486" s="116"/>
    </row>
    <row r="487" spans="1:11" s="131" customFormat="1" ht="12.75">
      <c r="A487" s="137"/>
      <c r="B487" s="138"/>
      <c r="C487" s="138">
        <v>3</v>
      </c>
      <c r="D487" s="138" t="s">
        <v>163</v>
      </c>
      <c r="E487" s="138"/>
      <c r="F487" s="138"/>
      <c r="G487" s="18"/>
      <c r="H487" s="256">
        <f>+K282</f>
        <v>6000000</v>
      </c>
      <c r="I487" s="252"/>
      <c r="J487" s="18"/>
      <c r="K487" s="116"/>
    </row>
    <row r="488" spans="1:11" s="131" customFormat="1" ht="12.75">
      <c r="A488" s="137"/>
      <c r="B488" s="138"/>
      <c r="C488" s="138">
        <v>4</v>
      </c>
      <c r="D488" s="138" t="s">
        <v>164</v>
      </c>
      <c r="E488" s="138"/>
      <c r="F488" s="138"/>
      <c r="G488" s="18"/>
      <c r="H488" s="256">
        <f>+K428</f>
        <v>600000</v>
      </c>
      <c r="I488" s="252"/>
      <c r="J488" s="18"/>
      <c r="K488" s="116"/>
    </row>
    <row r="489" spans="1:11" s="131" customFormat="1" ht="12.75">
      <c r="A489" s="137"/>
      <c r="B489" s="138"/>
      <c r="C489" s="138">
        <v>5</v>
      </c>
      <c r="D489" s="138" t="s">
        <v>165</v>
      </c>
      <c r="E489" s="138"/>
      <c r="F489" s="138"/>
      <c r="G489" s="18"/>
      <c r="H489" s="256">
        <f>+K364</f>
        <v>10000000</v>
      </c>
      <c r="I489" s="252"/>
      <c r="J489" s="18"/>
      <c r="K489" s="116"/>
    </row>
    <row r="490" spans="1:11" s="131" customFormat="1" ht="13.5" thickBot="1">
      <c r="A490" s="137"/>
      <c r="B490" s="138"/>
      <c r="C490" s="138">
        <v>6</v>
      </c>
      <c r="D490" s="138" t="s">
        <v>166</v>
      </c>
      <c r="E490" s="138"/>
      <c r="F490" s="138"/>
      <c r="G490" s="18"/>
      <c r="H490" s="256">
        <f>+K142</f>
        <v>7200000</v>
      </c>
      <c r="I490" s="252"/>
      <c r="J490" s="18"/>
      <c r="K490" s="116"/>
    </row>
    <row r="491" spans="1:11" s="131" customFormat="1" ht="13.5" thickBot="1">
      <c r="A491" s="137"/>
      <c r="B491" s="138"/>
      <c r="C491" s="138" t="s">
        <v>167</v>
      </c>
      <c r="D491" s="138"/>
      <c r="E491" s="138"/>
      <c r="F491" s="138"/>
      <c r="G491" s="18"/>
      <c r="H491" s="182">
        <f>SUM(H485:H490)</f>
        <v>64000000</v>
      </c>
      <c r="I491" s="18"/>
      <c r="J491" s="18"/>
      <c r="K491" s="116"/>
    </row>
    <row r="492" spans="1:11" s="131" customFormat="1" ht="12.75" customHeight="1" thickBot="1">
      <c r="A492" s="137"/>
      <c r="B492" s="138"/>
      <c r="C492" s="138"/>
      <c r="D492" s="138"/>
      <c r="E492" s="138"/>
      <c r="F492" s="138"/>
      <c r="G492" s="18"/>
      <c r="H492" s="18"/>
      <c r="I492" s="252"/>
      <c r="J492" s="18"/>
      <c r="K492" s="116"/>
    </row>
    <row r="493" spans="1:11" s="131" customFormat="1" ht="13.5" thickBot="1">
      <c r="A493" s="137"/>
      <c r="B493" s="138" t="s">
        <v>168</v>
      </c>
      <c r="C493" s="138"/>
      <c r="D493" s="138"/>
      <c r="E493" s="138"/>
      <c r="F493" s="138"/>
      <c r="G493" s="18"/>
      <c r="H493" s="255">
        <f>+H483+H491</f>
        <v>101000000</v>
      </c>
      <c r="I493" s="18"/>
      <c r="J493" s="18"/>
      <c r="K493" s="116"/>
    </row>
    <row r="494" spans="1:11" s="131" customFormat="1" ht="12.75">
      <c r="A494" s="137"/>
      <c r="B494" s="138" t="s">
        <v>280</v>
      </c>
      <c r="C494" s="138"/>
      <c r="D494" s="138"/>
      <c r="E494" s="58">
        <v>1</v>
      </c>
      <c r="F494" s="138" t="s">
        <v>281</v>
      </c>
      <c r="G494" s="18"/>
      <c r="H494" s="18"/>
      <c r="I494" s="252"/>
      <c r="J494" s="18"/>
      <c r="K494" s="116"/>
    </row>
    <row r="495" spans="1:11" s="131" customFormat="1" ht="13.5" thickBot="1">
      <c r="A495" s="137"/>
      <c r="B495" s="138" t="s">
        <v>155</v>
      </c>
      <c r="C495" s="138"/>
      <c r="D495" s="138"/>
      <c r="E495" s="138"/>
      <c r="F495" s="138"/>
      <c r="G495" s="18"/>
      <c r="H495" s="18"/>
      <c r="I495" s="252"/>
      <c r="J495" s="18"/>
      <c r="K495" s="116"/>
    </row>
    <row r="496" spans="1:11" s="131" customFormat="1" ht="13.5" thickBot="1">
      <c r="A496" s="137"/>
      <c r="B496" s="257"/>
      <c r="C496" s="138"/>
      <c r="D496" s="258">
        <f>+E494/12</f>
        <v>0.08333333333333333</v>
      </c>
      <c r="E496" s="225" t="s">
        <v>282</v>
      </c>
      <c r="F496" s="26">
        <f>+H493</f>
        <v>101000000</v>
      </c>
      <c r="G496" s="18"/>
      <c r="H496" s="312">
        <f>+D496*F496</f>
        <v>8416666.666666666</v>
      </c>
      <c r="I496" s="314"/>
      <c r="J496" s="316"/>
      <c r="K496" s="315"/>
    </row>
    <row r="497" spans="1:11" s="131" customFormat="1" ht="13.5" thickBot="1">
      <c r="A497" s="137"/>
      <c r="B497" s="138" t="s">
        <v>235</v>
      </c>
      <c r="C497" s="138"/>
      <c r="D497" s="138"/>
      <c r="E497" s="138"/>
      <c r="F497" s="138"/>
      <c r="G497" s="18"/>
      <c r="H497" s="18"/>
      <c r="I497" s="313">
        <f>+I476+I496</f>
        <v>78995000</v>
      </c>
      <c r="J497" s="313">
        <f>+I497-K497</f>
        <v>43995000</v>
      </c>
      <c r="K497" s="313">
        <f>+K476+K496</f>
        <v>35000000</v>
      </c>
    </row>
    <row r="498" spans="1:11" s="131" customFormat="1" ht="12.75">
      <c r="A498" s="160"/>
      <c r="B498" s="161" t="s">
        <v>234</v>
      </c>
      <c r="C498" s="161"/>
      <c r="D498" s="161"/>
      <c r="E498" s="161"/>
      <c r="F498" s="161"/>
      <c r="G498" s="180"/>
      <c r="H498" s="180"/>
      <c r="I498" s="180"/>
      <c r="J498" s="180"/>
      <c r="K498" s="259"/>
    </row>
    <row r="499" spans="1:11" s="131" customFormat="1" ht="12.75">
      <c r="A499" s="138"/>
      <c r="B499" s="138"/>
      <c r="C499" s="138"/>
      <c r="D499" s="138"/>
      <c r="E499" s="138"/>
      <c r="F499" s="138"/>
      <c r="G499" s="18"/>
      <c r="H499" s="18"/>
      <c r="I499" s="18"/>
      <c r="J499" s="18"/>
      <c r="K499" s="18"/>
    </row>
    <row r="500" spans="1:11" s="131" customFormat="1" ht="12.75">
      <c r="A500" s="172"/>
      <c r="B500" s="20" t="s">
        <v>306</v>
      </c>
      <c r="C500" s="173"/>
      <c r="D500" s="173"/>
      <c r="E500" s="173"/>
      <c r="F500" s="173"/>
      <c r="G500" s="19"/>
      <c r="H500" s="125"/>
      <c r="I500" s="95">
        <v>1</v>
      </c>
      <c r="J500" s="95">
        <f>+J497/I497</f>
        <v>0.5569339831634914</v>
      </c>
      <c r="K500" s="95">
        <f>+K497/I497</f>
        <v>0.44306601683650865</v>
      </c>
    </row>
    <row r="501" spans="1:11" s="131" customFormat="1" ht="12.75">
      <c r="A501" s="138"/>
      <c r="B501" s="27"/>
      <c r="C501" s="138"/>
      <c r="D501" s="138"/>
      <c r="E501" s="138"/>
      <c r="F501" s="138"/>
      <c r="G501" s="18"/>
      <c r="H501" s="18"/>
      <c r="I501" s="97"/>
      <c r="J501" s="97"/>
      <c r="K501" s="97"/>
    </row>
    <row r="502" spans="1:11" s="131" customFormat="1" ht="18">
      <c r="A502" s="306" t="s">
        <v>169</v>
      </c>
      <c r="B502" s="90"/>
      <c r="C502" s="90"/>
      <c r="D502" s="90"/>
      <c r="E502" s="138"/>
      <c r="F502" s="90"/>
      <c r="G502" s="90"/>
      <c r="H502" s="90"/>
      <c r="I502" s="90"/>
      <c r="J502" s="90"/>
      <c r="K502" s="90"/>
    </row>
    <row r="503" spans="1:11" s="131" customFormat="1" ht="12.75">
      <c r="A503" s="90" t="s">
        <v>170</v>
      </c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s="131" customFormat="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s="131" customFormat="1" ht="12.75">
      <c r="A505" s="172" t="s">
        <v>145</v>
      </c>
      <c r="B505" s="173"/>
      <c r="C505" s="173"/>
      <c r="D505" s="173"/>
      <c r="E505" s="173"/>
      <c r="F505" s="173"/>
      <c r="G505" s="98" t="s">
        <v>229</v>
      </c>
      <c r="H505" s="98" t="s">
        <v>230</v>
      </c>
      <c r="I505" s="98" t="s">
        <v>231</v>
      </c>
      <c r="J505" s="99" t="s">
        <v>232</v>
      </c>
      <c r="K505" s="98" t="s">
        <v>233</v>
      </c>
    </row>
    <row r="506" spans="1:11" s="131" customFormat="1" ht="12.75">
      <c r="A506" s="137"/>
      <c r="B506" s="138"/>
      <c r="C506" s="138"/>
      <c r="D506" s="138"/>
      <c r="E506" s="138"/>
      <c r="F506" s="138"/>
      <c r="G506" s="252"/>
      <c r="H506" s="115"/>
      <c r="I506" s="116"/>
      <c r="J506" s="18"/>
      <c r="K506" s="115"/>
    </row>
    <row r="507" spans="1:11" s="131" customFormat="1" ht="12.75">
      <c r="A507" s="160" t="s">
        <v>59</v>
      </c>
      <c r="B507" s="161" t="s">
        <v>67</v>
      </c>
      <c r="C507" s="161"/>
      <c r="D507" s="161"/>
      <c r="E507" s="161"/>
      <c r="F507" s="161"/>
      <c r="G507" s="83">
        <f>+K243</f>
        <v>144000000</v>
      </c>
      <c r="H507" s="83">
        <f>+(1+$I$542)*G507</f>
        <v>220320000</v>
      </c>
      <c r="I507" s="260">
        <f>+(1+$I$542)*H507</f>
        <v>337089600</v>
      </c>
      <c r="J507" s="260">
        <f>+(1+$I$542)*I507</f>
        <v>515747088</v>
      </c>
      <c r="K507" s="83">
        <f>+(1+$I$542)*J507</f>
        <v>789093044.64</v>
      </c>
    </row>
    <row r="508" spans="1:11" s="131" customFormat="1" ht="12.75">
      <c r="A508" s="160"/>
      <c r="B508" s="161" t="s">
        <v>310</v>
      </c>
      <c r="C508" s="161"/>
      <c r="D508" s="161"/>
      <c r="E508" s="161"/>
      <c r="F508" s="161"/>
      <c r="G508" s="83">
        <v>0</v>
      </c>
      <c r="H508" s="83">
        <f>+G510</f>
        <v>0</v>
      </c>
      <c r="I508" s="83">
        <f>+H510</f>
        <v>0</v>
      </c>
      <c r="J508" s="83">
        <f>+I510</f>
        <v>0</v>
      </c>
      <c r="K508" s="83">
        <f>+J510</f>
        <v>0</v>
      </c>
    </row>
    <row r="509" spans="1:11" s="131" customFormat="1" ht="12.75">
      <c r="A509" s="160"/>
      <c r="B509" s="161" t="s">
        <v>308</v>
      </c>
      <c r="C509" s="161"/>
      <c r="D509" s="161"/>
      <c r="E509" s="161"/>
      <c r="F509" s="161"/>
      <c r="G509" s="83">
        <f>+H483</f>
        <v>37000000</v>
      </c>
      <c r="H509" s="26">
        <f>+(1+$I$542)*G509</f>
        <v>56610000</v>
      </c>
      <c r="I509" s="26">
        <f>+(1+$I$542)*H509</f>
        <v>86613300</v>
      </c>
      <c r="J509" s="26">
        <f>+(1+$I$542)*I509</f>
        <v>132518349</v>
      </c>
      <c r="K509" s="26">
        <f>+(1+$I$542)*J509</f>
        <v>202753073.97</v>
      </c>
    </row>
    <row r="510" spans="1:11" s="131" customFormat="1" ht="12.75">
      <c r="A510" s="160"/>
      <c r="B510" s="161" t="s">
        <v>311</v>
      </c>
      <c r="C510" s="161"/>
      <c r="D510" s="161"/>
      <c r="E510" s="161"/>
      <c r="F510" s="161"/>
      <c r="G510" s="83">
        <v>0</v>
      </c>
      <c r="H510" s="83">
        <f>+G510*(1+$I$542)</f>
        <v>0</v>
      </c>
      <c r="I510" s="83">
        <f>+H510*(1+$I$542)</f>
        <v>0</v>
      </c>
      <c r="J510" s="83">
        <f>+I510*(1+$I$542)</f>
        <v>0</v>
      </c>
      <c r="K510" s="83">
        <f>+J510*(1+$I$542)</f>
        <v>0</v>
      </c>
    </row>
    <row r="511" spans="1:11" s="131" customFormat="1" ht="12.75">
      <c r="A511" s="160" t="s">
        <v>9</v>
      </c>
      <c r="B511" s="161" t="s">
        <v>156</v>
      </c>
      <c r="C511" s="161"/>
      <c r="D511" s="161"/>
      <c r="E511" s="161"/>
      <c r="F511" s="161"/>
      <c r="G511" s="83">
        <f>+G508+G509-G510</f>
        <v>37000000</v>
      </c>
      <c r="H511" s="83">
        <f>+H508+H509-H510</f>
        <v>56610000</v>
      </c>
      <c r="I511" s="83">
        <f>+I508+I509-I510</f>
        <v>86613300</v>
      </c>
      <c r="J511" s="83">
        <f>+J508+J509-J510</f>
        <v>132518349</v>
      </c>
      <c r="K511" s="83">
        <f>+K508+K509-K510</f>
        <v>202753073.97</v>
      </c>
    </row>
    <row r="512" spans="1:11" s="131" customFormat="1" ht="12.75">
      <c r="A512" s="137"/>
      <c r="B512" s="138"/>
      <c r="C512" s="138"/>
      <c r="D512" s="138"/>
      <c r="E512" s="138"/>
      <c r="F512" s="138"/>
      <c r="G512" s="261"/>
      <c r="H512" s="24"/>
      <c r="I512" s="262"/>
      <c r="J512" s="23"/>
      <c r="K512" s="24"/>
    </row>
    <row r="513" spans="1:11" s="131" customFormat="1" ht="12.75">
      <c r="A513" s="160" t="s">
        <v>16</v>
      </c>
      <c r="B513" s="161" t="s">
        <v>171</v>
      </c>
      <c r="C513" s="161"/>
      <c r="D513" s="161"/>
      <c r="E513" s="161"/>
      <c r="F513" s="161"/>
      <c r="G513" s="83">
        <f>+G507-G511</f>
        <v>107000000</v>
      </c>
      <c r="H513" s="83">
        <f>+H507-H511</f>
        <v>163710000</v>
      </c>
      <c r="I513" s="83">
        <f>+I507-I511</f>
        <v>250476300</v>
      </c>
      <c r="J513" s="83">
        <f>+J507-J511</f>
        <v>383228739</v>
      </c>
      <c r="K513" s="83">
        <f>+K507-K511</f>
        <v>586339970.67</v>
      </c>
    </row>
    <row r="514" spans="1:11" s="131" customFormat="1" ht="12.75">
      <c r="A514" s="160"/>
      <c r="B514" s="161" t="s">
        <v>20</v>
      </c>
      <c r="C514" s="161" t="s">
        <v>160</v>
      </c>
      <c r="D514" s="161"/>
      <c r="E514" s="161"/>
      <c r="F514" s="161"/>
      <c r="G514" s="83">
        <f>+H491</f>
        <v>64000000</v>
      </c>
      <c r="H514" s="26">
        <f>+(1+$H$540)*G514</f>
        <v>96000000</v>
      </c>
      <c r="I514" s="26">
        <f>+(1+$H$540)*H514</f>
        <v>144000000</v>
      </c>
      <c r="J514" s="26">
        <f>+(1+$H$540)*I514</f>
        <v>216000000</v>
      </c>
      <c r="K514" s="26">
        <f>+(1+$H$540)*J514</f>
        <v>324000000</v>
      </c>
    </row>
    <row r="515" spans="1:11" s="131" customFormat="1" ht="12.75">
      <c r="A515" s="172"/>
      <c r="B515" s="173" t="s">
        <v>84</v>
      </c>
      <c r="C515" s="173" t="s">
        <v>172</v>
      </c>
      <c r="D515" s="173"/>
      <c r="E515" s="173"/>
      <c r="F515" s="173"/>
      <c r="G515" s="26">
        <f>+(F625+F630)*$I$543</f>
        <v>4375000</v>
      </c>
      <c r="H515" s="26">
        <f>+(G625+G630)*$I$543</f>
        <v>2916666.666666667</v>
      </c>
      <c r="I515" s="26">
        <f>+(H625+H630)*$I$543</f>
        <v>1458333.3333333337</v>
      </c>
      <c r="J515" s="26">
        <f>+(I625+I630)*$I$543</f>
        <v>4.656612873077393E-10</v>
      </c>
      <c r="K515" s="26">
        <f>+(J625+J630)*$I$543</f>
        <v>4.656612873077393E-10</v>
      </c>
    </row>
    <row r="516" spans="1:11" s="131" customFormat="1" ht="12.75">
      <c r="A516" s="172"/>
      <c r="B516" s="173" t="s">
        <v>85</v>
      </c>
      <c r="C516" s="173" t="s">
        <v>173</v>
      </c>
      <c r="D516" s="173"/>
      <c r="E516" s="173"/>
      <c r="F516" s="173"/>
      <c r="G516" s="26">
        <f>+$K$533</f>
        <v>5499000</v>
      </c>
      <c r="H516" s="26">
        <f>+$K$533</f>
        <v>5499000</v>
      </c>
      <c r="I516" s="26">
        <f>+$K$533</f>
        <v>5499000</v>
      </c>
      <c r="J516" s="26">
        <f>+$K$533</f>
        <v>5499000</v>
      </c>
      <c r="K516" s="26">
        <f>+$K$533</f>
        <v>5499000</v>
      </c>
    </row>
    <row r="517" spans="1:11" s="131" customFormat="1" ht="12.75">
      <c r="A517" s="172"/>
      <c r="B517" s="173" t="s">
        <v>112</v>
      </c>
      <c r="C517" s="173" t="s">
        <v>174</v>
      </c>
      <c r="D517" s="173"/>
      <c r="E517" s="173"/>
      <c r="F517" s="173"/>
      <c r="G517" s="26">
        <f>+$K$538</f>
        <v>10300000</v>
      </c>
      <c r="H517" s="26">
        <f>+$K$538</f>
        <v>10300000</v>
      </c>
      <c r="I517" s="26">
        <f>+$K$538</f>
        <v>10300000</v>
      </c>
      <c r="J517" s="26">
        <f>+$K$538</f>
        <v>10300000</v>
      </c>
      <c r="K517" s="26">
        <f>+$K$538</f>
        <v>10300000</v>
      </c>
    </row>
    <row r="518" spans="1:11" s="131" customFormat="1" ht="12.75">
      <c r="A518" s="160" t="s">
        <v>121</v>
      </c>
      <c r="B518" s="161" t="s">
        <v>175</v>
      </c>
      <c r="C518" s="161"/>
      <c r="D518" s="161"/>
      <c r="E518" s="161"/>
      <c r="F518" s="161"/>
      <c r="G518" s="83">
        <f>SUM(G514:G517)</f>
        <v>84174000</v>
      </c>
      <c r="H518" s="83">
        <f>SUM(H514:H517)</f>
        <v>114715666.66666667</v>
      </c>
      <c r="I518" s="83">
        <f>SUM(I514:I517)</f>
        <v>161257333.33333334</v>
      </c>
      <c r="J518" s="83">
        <f>SUM(J514:J517)</f>
        <v>231799000</v>
      </c>
      <c r="K518" s="83">
        <f>SUM(K514:K517)</f>
        <v>339799000</v>
      </c>
    </row>
    <row r="519" spans="1:11" s="131" customFormat="1" ht="12.75">
      <c r="A519" s="160" t="s">
        <v>129</v>
      </c>
      <c r="B519" s="161" t="s">
        <v>176</v>
      </c>
      <c r="C519" s="161"/>
      <c r="D519" s="161"/>
      <c r="E519" s="161"/>
      <c r="F519" s="161"/>
      <c r="G519" s="83">
        <f>+G513-G518</f>
        <v>22826000</v>
      </c>
      <c r="H519" s="83">
        <f>+H513-H518</f>
        <v>48994333.33333333</v>
      </c>
      <c r="I519" s="83">
        <f>+I513-I518</f>
        <v>89218966.66666666</v>
      </c>
      <c r="J519" s="83">
        <f>+J513-J518</f>
        <v>151429739</v>
      </c>
      <c r="K519" s="83">
        <f>+K513-K518</f>
        <v>246540970.66999996</v>
      </c>
    </row>
    <row r="520" spans="1:11" s="131" customFormat="1" ht="13.5" thickBot="1">
      <c r="A520" s="160" t="s">
        <v>135</v>
      </c>
      <c r="B520" s="161" t="s">
        <v>177</v>
      </c>
      <c r="C520" s="161"/>
      <c r="D520" s="161"/>
      <c r="E520" s="161"/>
      <c r="F520" s="161"/>
      <c r="G520" s="24">
        <f>IF(G519&lt;=0,0,IF(G519&lt;=$E$545,$J$545*G519,IF(G519&lt;$G$546,$J$545*$E$545+(G519-$E$545)*$J$546,IF(G519&gt;$G$546,$J$545*$E$545+($G$546-$E$545)*$J$546+$J$547*(G519-$G$546)))))</f>
        <v>2282600</v>
      </c>
      <c r="H520" s="24">
        <f>IF(H519&lt;=0,0,IF(H519&lt;=$E$545,$J$545*H519,IF(H519&lt;$G$546,$J$545*$E$545+(H519-$E$545)*$J$546,IF(H519&gt;$G$546,$J$545*$E$545+($G$546-$E$545)*$J$546+$J$547*(H519-$G$546)))))</f>
        <v>4899433.333333333</v>
      </c>
      <c r="I520" s="24">
        <f>IF(I519&lt;=0,0,IF(I519&lt;=$E$545,$J$545*I519,IF(I519&lt;$G$546,$J$545*$E$545+(I519-$E$545)*$J$546,IF(I519&gt;$G$546,$J$545*$E$545+($G$546-$E$545)*$J$546+$J$547*(I519-$G$546)))))</f>
        <v>8921896.666666666</v>
      </c>
      <c r="J520" s="24">
        <f>IF(J519&lt;=0,0,IF(J519&lt;=$E$545,$J$545*J519,IF(J519&lt;$G$546,$J$545*$E$545+(J519-$E$545)*$J$546,IF(J519&gt;$G$546,$J$545*$E$545+($G$546-$E$545)*$J$546+$J$547*(J519-$G$546)))))</f>
        <v>15142973.9</v>
      </c>
      <c r="K520" s="24">
        <f>IF(K519&lt;=0,0,IF(K519&lt;=$E$545,$J$545*K519,IF(K519&lt;$G$546,$J$545*$E$545+(K519-$E$545)*$J$546,IF(K519&gt;$G$546,$J$545*$E$545+($G$546-$E$545)*$J$546+$J$547*(K519-$G$546)))))</f>
        <v>24654097.066999998</v>
      </c>
    </row>
    <row r="521" spans="1:11" s="131" customFormat="1" ht="13.5" thickBot="1">
      <c r="A521" s="160" t="s">
        <v>138</v>
      </c>
      <c r="B521" s="161" t="s">
        <v>178</v>
      </c>
      <c r="C521" s="161"/>
      <c r="D521" s="161"/>
      <c r="E521" s="161"/>
      <c r="F521" s="161"/>
      <c r="G521" s="255">
        <f>+G519-G520</f>
        <v>20543400</v>
      </c>
      <c r="H521" s="255">
        <f>+H519-H520</f>
        <v>44094899.99999999</v>
      </c>
      <c r="I521" s="255">
        <f>+I519-I520</f>
        <v>80297069.99999999</v>
      </c>
      <c r="J521" s="255">
        <f>+J519-J520</f>
        <v>136286765.1</v>
      </c>
      <c r="K521" s="255">
        <f>+K519-K520</f>
        <v>221886873.60299996</v>
      </c>
    </row>
    <row r="522" spans="1:11" s="131" customFormat="1" ht="12.75">
      <c r="A522" s="138"/>
      <c r="B522" s="138" t="s">
        <v>318</v>
      </c>
      <c r="C522" s="138"/>
      <c r="D522" s="138"/>
      <c r="E522" s="138"/>
      <c r="F522" s="138"/>
      <c r="G522" s="263">
        <f>+G521/G507</f>
        <v>0.1426625</v>
      </c>
      <c r="H522" s="263">
        <f>+H521/H507</f>
        <v>0.20014025054466228</v>
      </c>
      <c r="I522" s="263">
        <f>+I521/I507</f>
        <v>0.23820690403975675</v>
      </c>
      <c r="J522" s="263">
        <f>+J521/J507</f>
        <v>0.26425115773024005</v>
      </c>
      <c r="K522" s="263">
        <f>+K521/K507</f>
        <v>0.2811922815822425</v>
      </c>
    </row>
    <row r="523" spans="1:11" s="131" customFormat="1" ht="12.75">
      <c r="A523" s="138"/>
      <c r="B523" s="138"/>
      <c r="C523" s="138"/>
      <c r="D523" s="138"/>
      <c r="E523" s="138"/>
      <c r="F523" s="138"/>
      <c r="G523" s="23"/>
      <c r="H523" s="23"/>
      <c r="I523" s="23"/>
      <c r="J523" s="23"/>
      <c r="K523" s="23"/>
    </row>
    <row r="524" spans="1:11" s="131" customFormat="1" ht="12.75">
      <c r="A524" s="17" t="s">
        <v>304</v>
      </c>
      <c r="B524" s="173"/>
      <c r="C524" s="173"/>
      <c r="D524" s="173"/>
      <c r="E524" s="173"/>
      <c r="F524" s="127"/>
      <c r="G524" s="264">
        <f>+G518/G513</f>
        <v>0.7866728971962617</v>
      </c>
      <c r="H524" s="264">
        <f>+H518/H513</f>
        <v>0.7007248589986358</v>
      </c>
      <c r="I524" s="264">
        <f>+I518/I513</f>
        <v>0.6438027603143824</v>
      </c>
      <c r="J524" s="264">
        <f>+J518/J513</f>
        <v>0.6048580818987065</v>
      </c>
      <c r="K524" s="264">
        <f>+K518/K513</f>
        <v>0.5795255602508522</v>
      </c>
    </row>
    <row r="525" spans="1:11" s="131" customFormat="1" ht="12.75">
      <c r="A525" s="17" t="s">
        <v>305</v>
      </c>
      <c r="B525" s="173"/>
      <c r="C525" s="173"/>
      <c r="D525" s="173"/>
      <c r="E525" s="173"/>
      <c r="F525" s="173"/>
      <c r="G525" s="265">
        <f>+(G507*G524)</f>
        <v>113280897.19626167</v>
      </c>
      <c r="H525" s="266">
        <f>+(H507*H524)</f>
        <v>154383700.93457943</v>
      </c>
      <c r="I525" s="265">
        <f>+(I507*I524)</f>
        <v>217019214.95327106</v>
      </c>
      <c r="J525" s="266">
        <f>+(J507*J524)</f>
        <v>311953794.3925234</v>
      </c>
      <c r="K525" s="265">
        <f>+(K507*K524)</f>
        <v>457299588.78504676</v>
      </c>
    </row>
    <row r="526" spans="1:11" s="131" customFormat="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s="131" customFormat="1" ht="12.75">
      <c r="A527" s="90" t="s">
        <v>173</v>
      </c>
      <c r="B527" s="90"/>
      <c r="C527" s="90"/>
      <c r="D527" s="90"/>
      <c r="E527" s="90"/>
      <c r="F527" s="90"/>
      <c r="G527" s="90"/>
      <c r="H527" s="161"/>
      <c r="I527" s="90"/>
      <c r="J527" s="90"/>
      <c r="K527" s="90"/>
    </row>
    <row r="528" spans="1:11" s="131" customFormat="1" ht="12.75">
      <c r="A528" s="90"/>
      <c r="B528" s="172"/>
      <c r="C528" s="173" t="s">
        <v>146</v>
      </c>
      <c r="D528" s="173"/>
      <c r="E528" s="173"/>
      <c r="F528" s="173"/>
      <c r="G528" s="173"/>
      <c r="H528" s="90"/>
      <c r="I528" s="98" t="s">
        <v>180</v>
      </c>
      <c r="J528" s="99" t="s">
        <v>269</v>
      </c>
      <c r="K528" s="98" t="s">
        <v>439</v>
      </c>
    </row>
    <row r="529" spans="1:11" s="131" customFormat="1" ht="12.75">
      <c r="A529" s="90"/>
      <c r="B529" s="172">
        <v>1</v>
      </c>
      <c r="C529" s="173" t="s">
        <v>116</v>
      </c>
      <c r="D529" s="173"/>
      <c r="E529" s="173"/>
      <c r="F529" s="173"/>
      <c r="G529" s="173"/>
      <c r="H529" s="173"/>
      <c r="I529" s="113">
        <f>+K300</f>
        <v>0</v>
      </c>
      <c r="J529" s="174">
        <v>1</v>
      </c>
      <c r="K529" s="113">
        <f>+I529/J529</f>
        <v>0</v>
      </c>
    </row>
    <row r="530" spans="1:11" s="131" customFormat="1" ht="12.75">
      <c r="A530" s="90"/>
      <c r="B530" s="172">
        <v>2</v>
      </c>
      <c r="C530" s="173" t="s">
        <v>179</v>
      </c>
      <c r="D530" s="173"/>
      <c r="E530" s="173"/>
      <c r="F530" s="173"/>
      <c r="G530" s="173"/>
      <c r="H530" s="138"/>
      <c r="I530" s="113">
        <f>+K327</f>
        <v>25645000</v>
      </c>
      <c r="J530" s="174">
        <v>5</v>
      </c>
      <c r="K530" s="113">
        <f>+I530/J530</f>
        <v>5129000</v>
      </c>
    </row>
    <row r="531" spans="1:11" s="131" customFormat="1" ht="12.75">
      <c r="A531" s="90"/>
      <c r="B531" s="172">
        <v>3</v>
      </c>
      <c r="C531" s="173" t="s">
        <v>148</v>
      </c>
      <c r="D531" s="173"/>
      <c r="E531" s="173"/>
      <c r="F531" s="173"/>
      <c r="G531" s="173"/>
      <c r="H531" s="173"/>
      <c r="I531" s="113">
        <f>+K334</f>
        <v>1850000</v>
      </c>
      <c r="J531" s="174">
        <v>5</v>
      </c>
      <c r="K531" s="113">
        <f>+I531/J531</f>
        <v>370000</v>
      </c>
    </row>
    <row r="532" spans="1:11" s="131" customFormat="1" ht="13.5" thickBot="1">
      <c r="A532" s="90"/>
      <c r="B532" s="172">
        <v>4</v>
      </c>
      <c r="C532" s="173" t="s">
        <v>118</v>
      </c>
      <c r="D532" s="173"/>
      <c r="E532" s="173"/>
      <c r="F532" s="173"/>
      <c r="G532" s="173"/>
      <c r="H532" s="138"/>
      <c r="I532" s="113">
        <f>+K339</f>
        <v>0</v>
      </c>
      <c r="J532" s="267">
        <v>5</v>
      </c>
      <c r="K532" s="113">
        <f>+I532/J532</f>
        <v>0</v>
      </c>
    </row>
    <row r="533" spans="1:11" s="131" customFormat="1" ht="13.5" thickBot="1">
      <c r="A533" s="90"/>
      <c r="B533" s="160"/>
      <c r="C533" s="161"/>
      <c r="D533" s="161"/>
      <c r="E533" s="161" t="s">
        <v>181</v>
      </c>
      <c r="F533" s="161"/>
      <c r="G533" s="161"/>
      <c r="H533" s="173"/>
      <c r="I533" s="180"/>
      <c r="J533" s="268"/>
      <c r="K533" s="182">
        <f>SUM(K529:K532)</f>
        <v>5499000</v>
      </c>
    </row>
    <row r="534" spans="1:11" s="131" customFormat="1" ht="12.75">
      <c r="A534" s="90" t="s">
        <v>174</v>
      </c>
      <c r="B534" s="90"/>
      <c r="C534" s="90"/>
      <c r="D534" s="90"/>
      <c r="E534" s="90"/>
      <c r="F534" s="90"/>
      <c r="G534" s="90"/>
      <c r="H534" s="161"/>
      <c r="I534" s="90"/>
      <c r="J534" s="90"/>
      <c r="K534" s="90"/>
    </row>
    <row r="535" spans="1:11" s="131" customFormat="1" ht="12.75">
      <c r="A535" s="90"/>
      <c r="B535" s="172"/>
      <c r="C535" s="173" t="s">
        <v>212</v>
      </c>
      <c r="D535" s="173"/>
      <c r="E535" s="173"/>
      <c r="F535" s="173"/>
      <c r="G535" s="173"/>
      <c r="H535" s="90"/>
      <c r="I535" s="98" t="s">
        <v>180</v>
      </c>
      <c r="J535" s="99" t="s">
        <v>269</v>
      </c>
      <c r="K535" s="98" t="s">
        <v>287</v>
      </c>
    </row>
    <row r="536" spans="1:11" s="131" customFormat="1" ht="12.75">
      <c r="A536" s="90"/>
      <c r="B536" s="172">
        <v>1</v>
      </c>
      <c r="C536" s="173" t="s">
        <v>151</v>
      </c>
      <c r="D536" s="173"/>
      <c r="E536" s="173"/>
      <c r="F536" s="173"/>
      <c r="G536" s="173"/>
      <c r="H536" s="173"/>
      <c r="I536" s="113">
        <f>+K154</f>
        <v>3000000</v>
      </c>
      <c r="J536" s="174">
        <v>5</v>
      </c>
      <c r="K536" s="113">
        <f>+I536/J536</f>
        <v>600000</v>
      </c>
    </row>
    <row r="537" spans="1:11" s="131" customFormat="1" ht="13.5" thickBot="1">
      <c r="A537" s="90"/>
      <c r="B537" s="172">
        <v>2</v>
      </c>
      <c r="C537" s="173" t="s">
        <v>152</v>
      </c>
      <c r="D537" s="173"/>
      <c r="E537" s="173"/>
      <c r="F537" s="173"/>
      <c r="G537" s="173"/>
      <c r="H537" s="138"/>
      <c r="I537" s="113">
        <f>+K192</f>
        <v>48500000</v>
      </c>
      <c r="J537" s="174">
        <v>5</v>
      </c>
      <c r="K537" s="113">
        <f>+I537/J537</f>
        <v>9700000</v>
      </c>
    </row>
    <row r="538" spans="1:14" s="131" customFormat="1" ht="13.5" thickBot="1">
      <c r="A538" s="90"/>
      <c r="B538" s="160"/>
      <c r="C538" s="161"/>
      <c r="D538" s="161"/>
      <c r="E538" s="161" t="s">
        <v>182</v>
      </c>
      <c r="F538" s="161"/>
      <c r="G538" s="161"/>
      <c r="H538" s="173"/>
      <c r="I538" s="19"/>
      <c r="J538" s="19"/>
      <c r="K538" s="182">
        <f>SUM(K536:K537)</f>
        <v>10300000</v>
      </c>
      <c r="M538" s="90"/>
      <c r="N538" s="90"/>
    </row>
    <row r="539" spans="1:11" s="131" customFormat="1" ht="12.75">
      <c r="A539" s="90" t="s">
        <v>183</v>
      </c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s="131" customFormat="1" ht="12.75">
      <c r="A540" s="90"/>
      <c r="B540" s="90" t="s">
        <v>283</v>
      </c>
      <c r="C540" s="90"/>
      <c r="D540" s="90"/>
      <c r="E540" s="90"/>
      <c r="F540" s="90"/>
      <c r="G540" s="90"/>
      <c r="H540" s="351">
        <v>0.5</v>
      </c>
      <c r="I540" s="271"/>
      <c r="J540" s="271"/>
      <c r="K540" s="271"/>
    </row>
    <row r="541" spans="1:11" s="131" customFormat="1" ht="12.75">
      <c r="A541" s="90"/>
      <c r="B541" s="90" t="s">
        <v>284</v>
      </c>
      <c r="C541" s="90"/>
      <c r="D541" s="90"/>
      <c r="E541" s="90"/>
      <c r="F541" s="90"/>
      <c r="G541" s="90"/>
      <c r="H541" s="352">
        <f>J258</f>
        <v>0.03</v>
      </c>
      <c r="I541" s="271"/>
      <c r="J541" s="271"/>
      <c r="K541" s="271"/>
    </row>
    <row r="542" spans="1:11" s="131" customFormat="1" ht="12.75">
      <c r="A542" s="90"/>
      <c r="B542" s="90"/>
      <c r="C542" s="90" t="s">
        <v>285</v>
      </c>
      <c r="D542" s="90"/>
      <c r="E542" s="90"/>
      <c r="F542" s="90"/>
      <c r="G542" s="90"/>
      <c r="H542" s="353"/>
      <c r="I542" s="352">
        <f>+H540+H541</f>
        <v>0.53</v>
      </c>
      <c r="J542" s="271"/>
      <c r="K542" s="271"/>
    </row>
    <row r="543" spans="1:11" s="131" customFormat="1" ht="12.75">
      <c r="A543" s="90"/>
      <c r="B543" s="90" t="s">
        <v>286</v>
      </c>
      <c r="C543" s="90"/>
      <c r="D543" s="90"/>
      <c r="E543" s="90"/>
      <c r="F543" s="90"/>
      <c r="G543" s="90"/>
      <c r="H543" s="353"/>
      <c r="I543" s="351">
        <v>0.125</v>
      </c>
      <c r="J543" s="271"/>
      <c r="K543" s="271"/>
    </row>
    <row r="544" spans="1:11" s="131" customFormat="1" ht="12.75">
      <c r="A544" s="90"/>
      <c r="B544" s="90" t="s">
        <v>184</v>
      </c>
      <c r="C544" s="90"/>
      <c r="D544" s="90"/>
      <c r="E544" s="34"/>
      <c r="F544" s="90"/>
      <c r="G544" s="90"/>
      <c r="H544" s="353"/>
      <c r="I544" s="271"/>
      <c r="J544" s="271"/>
      <c r="K544" s="271"/>
    </row>
    <row r="545" spans="1:11" s="131" customFormat="1" ht="12.75">
      <c r="A545" s="90"/>
      <c r="B545" s="90"/>
      <c r="C545" s="90" t="s">
        <v>292</v>
      </c>
      <c r="D545" s="90"/>
      <c r="E545" s="269">
        <v>540000000</v>
      </c>
      <c r="F545" s="90"/>
      <c r="G545" s="90"/>
      <c r="H545" s="354"/>
      <c r="I545" s="271" t="s">
        <v>196</v>
      </c>
      <c r="J545" s="351">
        <v>0.1</v>
      </c>
      <c r="K545" s="271"/>
    </row>
    <row r="546" spans="1:11" s="131" customFormat="1" ht="12.75">
      <c r="A546" s="90"/>
      <c r="B546" s="90"/>
      <c r="C546" s="90" t="s">
        <v>293</v>
      </c>
      <c r="D546" s="90"/>
      <c r="E546" s="269">
        <f>+E545</f>
        <v>540000000</v>
      </c>
      <c r="F546" s="271" t="s">
        <v>294</v>
      </c>
      <c r="G546" s="269">
        <v>1350000000</v>
      </c>
      <c r="H546" s="354"/>
      <c r="I546" s="271" t="s">
        <v>196</v>
      </c>
      <c r="J546" s="351">
        <v>0.15</v>
      </c>
      <c r="K546" s="271"/>
    </row>
    <row r="547" spans="1:11" s="131" customFormat="1" ht="12.75">
      <c r="A547" s="90"/>
      <c r="B547" s="90"/>
      <c r="C547" s="90" t="s">
        <v>295</v>
      </c>
      <c r="D547" s="90"/>
      <c r="E547" s="269">
        <f>J547*5400000000</f>
        <v>1350000000</v>
      </c>
      <c r="F547" s="90"/>
      <c r="G547" s="90"/>
      <c r="H547" s="354"/>
      <c r="I547" s="271" t="s">
        <v>196</v>
      </c>
      <c r="J547" s="351">
        <v>0.25</v>
      </c>
      <c r="K547" s="271"/>
    </row>
    <row r="548" spans="1:11" s="131" customFormat="1" ht="12.75">
      <c r="A548" s="90"/>
      <c r="B548" s="90"/>
      <c r="C548" s="90"/>
      <c r="D548" s="90"/>
      <c r="E548" s="272"/>
      <c r="F548" s="90"/>
      <c r="G548" s="90"/>
      <c r="H548" s="270"/>
      <c r="I548" s="90"/>
      <c r="J548" s="273"/>
      <c r="K548" s="90"/>
    </row>
    <row r="549" spans="1:11" s="131" customFormat="1" ht="18">
      <c r="A549" s="306" t="s">
        <v>185</v>
      </c>
      <c r="B549" s="90"/>
      <c r="C549" s="90"/>
      <c r="D549" s="90"/>
      <c r="E549" s="90"/>
      <c r="F549" s="90"/>
      <c r="G549" s="90"/>
      <c r="H549" s="90"/>
      <c r="I549" s="90"/>
      <c r="J549" s="274"/>
      <c r="K549" s="90"/>
    </row>
    <row r="550" spans="1:11" s="131" customFormat="1" ht="12.75">
      <c r="A550" s="90" t="s">
        <v>170</v>
      </c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s="131" customFormat="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s="131" customFormat="1" ht="12.75">
      <c r="A552" s="172" t="s">
        <v>145</v>
      </c>
      <c r="B552" s="173"/>
      <c r="C552" s="173"/>
      <c r="D552" s="173"/>
      <c r="E552" s="173"/>
      <c r="F552" s="355" t="s">
        <v>228</v>
      </c>
      <c r="G552" s="356" t="s">
        <v>229</v>
      </c>
      <c r="H552" s="355" t="s">
        <v>230</v>
      </c>
      <c r="I552" s="356" t="s">
        <v>231</v>
      </c>
      <c r="J552" s="355" t="s">
        <v>232</v>
      </c>
      <c r="K552" s="357" t="s">
        <v>233</v>
      </c>
    </row>
    <row r="553" spans="1:11" s="131" customFormat="1" ht="12.75">
      <c r="A553" s="137"/>
      <c r="B553" s="138"/>
      <c r="C553" s="138"/>
      <c r="D553" s="138"/>
      <c r="E553" s="138"/>
      <c r="F553" s="275"/>
      <c r="G553" s="276"/>
      <c r="H553" s="275"/>
      <c r="I553" s="276"/>
      <c r="J553" s="275"/>
      <c r="K553" s="277"/>
    </row>
    <row r="554" spans="1:11" s="131" customFormat="1" ht="12.75">
      <c r="A554" s="137" t="s">
        <v>59</v>
      </c>
      <c r="B554" s="138" t="s">
        <v>186</v>
      </c>
      <c r="C554" s="138"/>
      <c r="D554" s="138"/>
      <c r="E554" s="138"/>
      <c r="F554" s="275"/>
      <c r="G554" s="276"/>
      <c r="H554" s="275"/>
      <c r="I554" s="276"/>
      <c r="J554" s="275"/>
      <c r="K554" s="277"/>
    </row>
    <row r="555" spans="1:11" s="131" customFormat="1" ht="12.75">
      <c r="A555" s="172"/>
      <c r="B555" s="173">
        <v>1</v>
      </c>
      <c r="C555" s="173" t="s">
        <v>187</v>
      </c>
      <c r="D555" s="173"/>
      <c r="E555" s="173"/>
      <c r="F555" s="80" t="s">
        <v>244</v>
      </c>
      <c r="G555" s="26">
        <f>+G507*$H$581</f>
        <v>132000000</v>
      </c>
      <c r="H555" s="26">
        <f>+H507*$H$581</f>
        <v>201960000</v>
      </c>
      <c r="I555" s="26">
        <f>+I507*$H$581</f>
        <v>308998800</v>
      </c>
      <c r="J555" s="26">
        <f>+J507*$H$581</f>
        <v>472768164</v>
      </c>
      <c r="K555" s="26">
        <f>+K507*$H$581</f>
        <v>723335290.92</v>
      </c>
    </row>
    <row r="556" spans="1:11" s="131" customFormat="1" ht="12.75">
      <c r="A556" s="172"/>
      <c r="B556" s="173">
        <v>2</v>
      </c>
      <c r="C556" s="173" t="s">
        <v>188</v>
      </c>
      <c r="D556" s="173"/>
      <c r="E556" s="173"/>
      <c r="F556" s="80" t="s">
        <v>244</v>
      </c>
      <c r="G556" s="80" t="s">
        <v>244</v>
      </c>
      <c r="H556" s="26">
        <f>+$H$582*G507</f>
        <v>12000000</v>
      </c>
      <c r="I556" s="26">
        <f>+$H$582*H507</f>
        <v>18360000</v>
      </c>
      <c r="J556" s="26">
        <f>+$H$582*I507</f>
        <v>28090800</v>
      </c>
      <c r="K556" s="26">
        <f>+$H$582*J507</f>
        <v>42978924</v>
      </c>
    </row>
    <row r="557" spans="1:11" s="131" customFormat="1" ht="12.75">
      <c r="A557" s="172"/>
      <c r="B557" s="173">
        <v>3</v>
      </c>
      <c r="C557" s="173" t="s">
        <v>189</v>
      </c>
      <c r="D557" s="173"/>
      <c r="E557" s="173"/>
      <c r="F557" s="26">
        <f>+J497</f>
        <v>43995000</v>
      </c>
      <c r="G557" s="81" t="s">
        <v>244</v>
      </c>
      <c r="H557" s="80" t="s">
        <v>244</v>
      </c>
      <c r="I557" s="81" t="s">
        <v>244</v>
      </c>
      <c r="J557" s="80" t="s">
        <v>244</v>
      </c>
      <c r="K557" s="82" t="s">
        <v>244</v>
      </c>
    </row>
    <row r="558" spans="1:11" s="131" customFormat="1" ht="12.75">
      <c r="A558" s="172"/>
      <c r="B558" s="173">
        <v>4</v>
      </c>
      <c r="C558" s="173" t="s">
        <v>190</v>
      </c>
      <c r="D558" s="173"/>
      <c r="E558" s="173"/>
      <c r="F558" s="311">
        <f>+K496</f>
        <v>0</v>
      </c>
      <c r="G558" s="81" t="s">
        <v>244</v>
      </c>
      <c r="H558" s="80" t="s">
        <v>244</v>
      </c>
      <c r="I558" s="81" t="s">
        <v>244</v>
      </c>
      <c r="J558" s="80" t="s">
        <v>244</v>
      </c>
      <c r="K558" s="82" t="s">
        <v>244</v>
      </c>
    </row>
    <row r="559" spans="1:11" s="131" customFormat="1" ht="12.75">
      <c r="A559" s="172"/>
      <c r="B559" s="173">
        <v>5</v>
      </c>
      <c r="C559" s="173" t="s">
        <v>191</v>
      </c>
      <c r="D559" s="173"/>
      <c r="E559" s="173"/>
      <c r="F559" s="26">
        <f>+K476</f>
        <v>35000000</v>
      </c>
      <c r="G559" s="81" t="s">
        <v>244</v>
      </c>
      <c r="H559" s="80" t="s">
        <v>244</v>
      </c>
      <c r="I559" s="81" t="s">
        <v>244</v>
      </c>
      <c r="J559" s="80" t="s">
        <v>244</v>
      </c>
      <c r="K559" s="82" t="s">
        <v>244</v>
      </c>
    </row>
    <row r="560" spans="1:11" s="131" customFormat="1" ht="12.75">
      <c r="A560" s="172"/>
      <c r="B560" s="173">
        <v>6</v>
      </c>
      <c r="C560" s="173" t="s">
        <v>192</v>
      </c>
      <c r="D560" s="173"/>
      <c r="E560" s="173"/>
      <c r="F560" s="80" t="s">
        <v>244</v>
      </c>
      <c r="G560" s="26">
        <f>+F577</f>
        <v>0</v>
      </c>
      <c r="H560" s="26">
        <f>+G577</f>
        <v>12675733.333333334</v>
      </c>
      <c r="I560" s="26">
        <f>+H577</f>
        <v>54542966.66666668</v>
      </c>
      <c r="J560" s="26">
        <f>+I577</f>
        <v>129241570.00000001</v>
      </c>
      <c r="K560" s="26">
        <f>+J577</f>
        <v>266439211.10000002</v>
      </c>
    </row>
    <row r="561" spans="1:11" s="131" customFormat="1" ht="12.75">
      <c r="A561" s="137"/>
      <c r="B561" s="138" t="s">
        <v>226</v>
      </c>
      <c r="C561" s="138"/>
      <c r="D561" s="138"/>
      <c r="E561" s="138"/>
      <c r="F561" s="83">
        <f aca="true" t="shared" si="7" ref="F561:K561">SUM(F555:F560)</f>
        <v>78995000</v>
      </c>
      <c r="G561" s="26">
        <f t="shared" si="7"/>
        <v>132000000</v>
      </c>
      <c r="H561" s="26">
        <f t="shared" si="7"/>
        <v>226635733.33333334</v>
      </c>
      <c r="I561" s="26">
        <f t="shared" si="7"/>
        <v>381901766.6666667</v>
      </c>
      <c r="J561" s="26">
        <f t="shared" si="7"/>
        <v>630100534</v>
      </c>
      <c r="K561" s="26">
        <f t="shared" si="7"/>
        <v>1032753426.02</v>
      </c>
    </row>
    <row r="562" spans="1:11" s="131" customFormat="1" ht="12.75">
      <c r="A562" s="137" t="s">
        <v>9</v>
      </c>
      <c r="B562" s="138" t="s">
        <v>193</v>
      </c>
      <c r="C562" s="138"/>
      <c r="D562" s="138"/>
      <c r="E562" s="138"/>
      <c r="F562" s="84"/>
      <c r="G562" s="85"/>
      <c r="H562" s="84"/>
      <c r="I562" s="85"/>
      <c r="J562" s="84"/>
      <c r="K562" s="86"/>
    </row>
    <row r="563" spans="1:11" s="131" customFormat="1" ht="12.75">
      <c r="A563" s="172"/>
      <c r="B563" s="173">
        <v>1</v>
      </c>
      <c r="C563" s="173" t="s">
        <v>194</v>
      </c>
      <c r="D563" s="173"/>
      <c r="E563" s="173"/>
      <c r="F563" s="26">
        <f>+I476</f>
        <v>78995000</v>
      </c>
      <c r="G563" s="80" t="s">
        <v>244</v>
      </c>
      <c r="H563" s="80" t="s">
        <v>244</v>
      </c>
      <c r="I563" s="80"/>
      <c r="J563" s="80" t="s">
        <v>244</v>
      </c>
      <c r="K563" s="82"/>
    </row>
    <row r="564" spans="1:11" s="131" customFormat="1" ht="12.75">
      <c r="A564" s="172"/>
      <c r="B564" s="173">
        <v>2</v>
      </c>
      <c r="C564" s="173" t="s">
        <v>316</v>
      </c>
      <c r="D564" s="173"/>
      <c r="E564" s="173"/>
      <c r="F564" s="80" t="s">
        <v>244</v>
      </c>
      <c r="G564" s="26">
        <f>+G509</f>
        <v>37000000</v>
      </c>
      <c r="H564" s="26">
        <f>+H509</f>
        <v>56610000</v>
      </c>
      <c r="I564" s="26">
        <f>+I509</f>
        <v>86613300</v>
      </c>
      <c r="J564" s="26">
        <f>+J509</f>
        <v>132518349</v>
      </c>
      <c r="K564" s="26">
        <f>+K509</f>
        <v>202753073.97</v>
      </c>
    </row>
    <row r="565" spans="1:11" s="131" customFormat="1" ht="12.75">
      <c r="A565" s="172"/>
      <c r="B565" s="173">
        <v>3</v>
      </c>
      <c r="C565" s="173" t="s">
        <v>270</v>
      </c>
      <c r="D565" s="173"/>
      <c r="E565" s="173"/>
      <c r="F565" s="80" t="s">
        <v>244</v>
      </c>
      <c r="G565" s="26">
        <f aca="true" t="shared" si="8" ref="G565:K566">+G514</f>
        <v>64000000</v>
      </c>
      <c r="H565" s="26">
        <f t="shared" si="8"/>
        <v>96000000</v>
      </c>
      <c r="I565" s="26">
        <f t="shared" si="8"/>
        <v>144000000</v>
      </c>
      <c r="J565" s="26">
        <f t="shared" si="8"/>
        <v>216000000</v>
      </c>
      <c r="K565" s="26">
        <f t="shared" si="8"/>
        <v>324000000</v>
      </c>
    </row>
    <row r="566" spans="1:11" s="131" customFormat="1" ht="12.75">
      <c r="A566" s="172"/>
      <c r="B566" s="173">
        <v>4</v>
      </c>
      <c r="C566" s="173" t="s">
        <v>195</v>
      </c>
      <c r="D566" s="173"/>
      <c r="E566" s="173"/>
      <c r="F566" s="80" t="s">
        <v>244</v>
      </c>
      <c r="G566" s="26">
        <f t="shared" si="8"/>
        <v>4375000</v>
      </c>
      <c r="H566" s="26">
        <f t="shared" si="8"/>
        <v>2916666.666666667</v>
      </c>
      <c r="I566" s="26">
        <f t="shared" si="8"/>
        <v>1458333.3333333337</v>
      </c>
      <c r="J566" s="26">
        <f t="shared" si="8"/>
        <v>4.656612873077393E-10</v>
      </c>
      <c r="K566" s="87"/>
    </row>
    <row r="567" spans="1:11" s="131" customFormat="1" ht="12.75">
      <c r="A567" s="172"/>
      <c r="B567" s="173">
        <v>5</v>
      </c>
      <c r="C567" s="173" t="s">
        <v>196</v>
      </c>
      <c r="D567" s="173"/>
      <c r="E567" s="173"/>
      <c r="F567" s="80" t="s">
        <v>244</v>
      </c>
      <c r="G567" s="26">
        <f>+G520</f>
        <v>2282600</v>
      </c>
      <c r="H567" s="26">
        <f>+H520</f>
        <v>4899433.333333333</v>
      </c>
      <c r="I567" s="26">
        <f>+I520</f>
        <v>8921896.666666666</v>
      </c>
      <c r="J567" s="26">
        <f>+J520</f>
        <v>15142973.9</v>
      </c>
      <c r="K567" s="87">
        <f>+K520</f>
        <v>24654097.066999998</v>
      </c>
    </row>
    <row r="568" spans="1:11" s="131" customFormat="1" ht="12.75">
      <c r="A568" s="160"/>
      <c r="B568" s="161" t="s">
        <v>225</v>
      </c>
      <c r="C568" s="161"/>
      <c r="D568" s="161"/>
      <c r="E568" s="161"/>
      <c r="F568" s="83">
        <f aca="true" t="shared" si="9" ref="F568:K568">SUM(F563:F567)</f>
        <v>78995000</v>
      </c>
      <c r="G568" s="83">
        <f t="shared" si="9"/>
        <v>107657600</v>
      </c>
      <c r="H568" s="83">
        <f>SUM(H563:H567)</f>
        <v>160426100</v>
      </c>
      <c r="I568" s="83">
        <f t="shared" si="9"/>
        <v>240993530</v>
      </c>
      <c r="J568" s="83">
        <f t="shared" si="9"/>
        <v>363661322.9</v>
      </c>
      <c r="K568" s="83">
        <f t="shared" si="9"/>
        <v>551407171.0370001</v>
      </c>
    </row>
    <row r="569" spans="1:11" s="131" customFormat="1" ht="12.75">
      <c r="A569" s="137"/>
      <c r="B569" s="138"/>
      <c r="C569" s="138"/>
      <c r="D569" s="138"/>
      <c r="E569" s="138"/>
      <c r="F569" s="24"/>
      <c r="G569" s="23"/>
      <c r="H569" s="24"/>
      <c r="I569" s="23"/>
      <c r="J569" s="24"/>
      <c r="K569" s="88"/>
    </row>
    <row r="570" spans="1:11" s="131" customFormat="1" ht="12.75">
      <c r="A570" s="160" t="s">
        <v>16</v>
      </c>
      <c r="B570" s="161" t="s">
        <v>197</v>
      </c>
      <c r="C570" s="161"/>
      <c r="D570" s="161"/>
      <c r="E570" s="161"/>
      <c r="F570" s="83">
        <f aca="true" t="shared" si="10" ref="F570:K570">+F561-F568</f>
        <v>0</v>
      </c>
      <c r="G570" s="83">
        <f t="shared" si="10"/>
        <v>24342400</v>
      </c>
      <c r="H570" s="83">
        <f t="shared" si="10"/>
        <v>66209633.33333334</v>
      </c>
      <c r="I570" s="83">
        <f t="shared" si="10"/>
        <v>140908236.6666667</v>
      </c>
      <c r="J570" s="83">
        <f t="shared" si="10"/>
        <v>266439211.10000002</v>
      </c>
      <c r="K570" s="83">
        <f t="shared" si="10"/>
        <v>481346254.9829999</v>
      </c>
    </row>
    <row r="571" spans="1:11" s="131" customFormat="1" ht="12.75">
      <c r="A571" s="137"/>
      <c r="B571" s="138"/>
      <c r="C571" s="138"/>
      <c r="D571" s="138"/>
      <c r="E571" s="138"/>
      <c r="F571" s="84"/>
      <c r="G571" s="85"/>
      <c r="H571" s="84"/>
      <c r="I571" s="85"/>
      <c r="J571" s="84"/>
      <c r="K571" s="86"/>
    </row>
    <row r="572" spans="1:11" s="131" customFormat="1" ht="12.75">
      <c r="A572" s="137" t="s">
        <v>20</v>
      </c>
      <c r="B572" s="138" t="s">
        <v>198</v>
      </c>
      <c r="C572" s="138"/>
      <c r="D572" s="138"/>
      <c r="E572" s="138"/>
      <c r="F572" s="84"/>
      <c r="G572" s="85"/>
      <c r="H572" s="84"/>
      <c r="I572" s="85"/>
      <c r="J572" s="84"/>
      <c r="K572" s="86"/>
    </row>
    <row r="573" spans="1:11" s="131" customFormat="1" ht="12.75">
      <c r="A573" s="172"/>
      <c r="B573" s="173">
        <v>1</v>
      </c>
      <c r="C573" s="173" t="s">
        <v>224</v>
      </c>
      <c r="D573" s="173"/>
      <c r="E573" s="173"/>
      <c r="F573" s="80" t="s">
        <v>244</v>
      </c>
      <c r="G573" s="26">
        <f>IF(G570&lt;F570*(1+$I$542),0,IF(F627&lt;=1,0,(1/+$H$584)*$K$496))</f>
        <v>0</v>
      </c>
      <c r="H573" s="26">
        <f>IF(H570&lt;$F570*(1+$I$542)^2,0,IF(G627&lt;=1,0,(1/+$H$584)*$K$496))</f>
        <v>0</v>
      </c>
      <c r="I573" s="26">
        <f>IF(I570&lt;$F570*(1+$I$542)^3,0,IF(H627&lt;=1,0,(1/+$H$584)*$K$496))</f>
        <v>0</v>
      </c>
      <c r="J573" s="26">
        <f>IF(J570&lt;$F570*(1+$I$542)^4,0,IF(I627&lt;=1,0,(1/+$H$584)*$K$496))</f>
        <v>0</v>
      </c>
      <c r="K573" s="26">
        <f>IF(K570&lt;$F570*(1+$I$542)^5,0,IF(J627&lt;=1,0,(1/+$H$584)*$K$496))</f>
        <v>0</v>
      </c>
    </row>
    <row r="574" spans="1:11" s="131" customFormat="1" ht="12.75">
      <c r="A574" s="172"/>
      <c r="B574" s="173">
        <v>2</v>
      </c>
      <c r="C574" s="173" t="s">
        <v>199</v>
      </c>
      <c r="D574" s="173"/>
      <c r="E574" s="173"/>
      <c r="F574" s="80" t="s">
        <v>244</v>
      </c>
      <c r="G574" s="26">
        <f>IF(G570&lt;$F$570*(1+$I$542),0,(IF(F632&lt;=1,0,(1/+$H$585)*$K$476)))</f>
        <v>11666666.666666666</v>
      </c>
      <c r="H574" s="26">
        <f>IF(H570&lt;$F$570*(1+$I$542)^2,0,(IF(G632&lt;=1,0,(1/+$H$585)*$K$476)))</f>
        <v>11666666.666666666</v>
      </c>
      <c r="I574" s="26">
        <f>IF(I570&lt;$F$570*(1+$I$542)^3,0,(IF(H632&lt;=1,0,(1/+$H$585)*$K$476)))</f>
        <v>11666666.666666666</v>
      </c>
      <c r="J574" s="26">
        <f>IF(J570&lt;$F$570*(1+$I$542)^4,0,(IF(I632&lt;=1,0,(1/+$H$585)*$K$476)))</f>
        <v>0</v>
      </c>
      <c r="K574" s="26">
        <f>IF(K570&lt;$F$570*(1+$I$542)^5,0,(IF(J632&lt;=1,0,(1/+$H$585)*$K$476)))</f>
        <v>0</v>
      </c>
    </row>
    <row r="575" spans="1:11" s="131" customFormat="1" ht="12.75">
      <c r="A575" s="160"/>
      <c r="B575" s="161" t="s">
        <v>227</v>
      </c>
      <c r="C575" s="161"/>
      <c r="D575" s="161"/>
      <c r="E575" s="161"/>
      <c r="F575" s="89"/>
      <c r="G575" s="26">
        <f>SUM(G573:G574)</f>
        <v>11666666.666666666</v>
      </c>
      <c r="H575" s="26">
        <f>SUM(H573:H574)</f>
        <v>11666666.666666666</v>
      </c>
      <c r="I575" s="26">
        <f>SUM(I573:I574)</f>
        <v>11666666.666666666</v>
      </c>
      <c r="J575" s="26">
        <f>SUM(J573:J574)</f>
        <v>0</v>
      </c>
      <c r="K575" s="26">
        <f>SUM(K573:K574)</f>
        <v>0</v>
      </c>
    </row>
    <row r="576" spans="1:11" s="131" customFormat="1" ht="12.75">
      <c r="A576" s="137"/>
      <c r="B576" s="138"/>
      <c r="C576" s="138"/>
      <c r="D576" s="138"/>
      <c r="E576" s="138"/>
      <c r="F576" s="24"/>
      <c r="G576" s="23"/>
      <c r="H576" s="24"/>
      <c r="I576" s="23"/>
      <c r="J576" s="24"/>
      <c r="K576" s="88"/>
    </row>
    <row r="577" spans="1:12" s="131" customFormat="1" ht="12.75">
      <c r="A577" s="172" t="s">
        <v>84</v>
      </c>
      <c r="B577" s="173" t="s">
        <v>200</v>
      </c>
      <c r="C577" s="173"/>
      <c r="D577" s="173"/>
      <c r="E577" s="173"/>
      <c r="F577" s="26">
        <f aca="true" t="shared" si="11" ref="F577:K577">+F570-F575</f>
        <v>0</v>
      </c>
      <c r="G577" s="26">
        <f t="shared" si="11"/>
        <v>12675733.333333334</v>
      </c>
      <c r="H577" s="26">
        <f t="shared" si="11"/>
        <v>54542966.66666668</v>
      </c>
      <c r="I577" s="26">
        <f t="shared" si="11"/>
        <v>129241570.00000001</v>
      </c>
      <c r="J577" s="26">
        <f t="shared" si="11"/>
        <v>266439211.10000002</v>
      </c>
      <c r="K577" s="26">
        <f t="shared" si="11"/>
        <v>481346254.9829999</v>
      </c>
      <c r="L577" s="278"/>
    </row>
    <row r="578" spans="1:11" s="131" customFormat="1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</row>
    <row r="579" spans="1:11" s="131" customFormat="1" ht="12.75">
      <c r="A579" s="90"/>
      <c r="B579" s="90" t="s">
        <v>145</v>
      </c>
      <c r="C579" s="90"/>
      <c r="D579" s="90"/>
      <c r="E579" s="90"/>
      <c r="F579" s="90"/>
      <c r="G579" s="90"/>
      <c r="H579" s="90"/>
      <c r="I579" s="90"/>
      <c r="J579" s="90"/>
      <c r="K579" s="90"/>
    </row>
    <row r="580" spans="1:11" s="131" customFormat="1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</row>
    <row r="581" spans="1:11" s="131" customFormat="1" ht="12.75">
      <c r="A581" s="90"/>
      <c r="B581" s="90" t="s">
        <v>201</v>
      </c>
      <c r="C581" s="90" t="s">
        <v>319</v>
      </c>
      <c r="E581" s="90"/>
      <c r="F581" s="90"/>
      <c r="G581" s="90"/>
      <c r="H581" s="91">
        <f>1-H582</f>
        <v>0.9166666666666666</v>
      </c>
      <c r="I581" s="90" t="s">
        <v>291</v>
      </c>
      <c r="J581" s="90"/>
      <c r="K581" s="90"/>
    </row>
    <row r="582" spans="1:11" s="131" customFormat="1" ht="12.75">
      <c r="A582" s="90"/>
      <c r="B582" s="90" t="s">
        <v>202</v>
      </c>
      <c r="C582" s="90" t="s">
        <v>320</v>
      </c>
      <c r="E582" s="90"/>
      <c r="F582" s="90">
        <f>+E494</f>
        <v>1</v>
      </c>
      <c r="G582" s="90" t="s">
        <v>321</v>
      </c>
      <c r="H582" s="92">
        <f>+D496</f>
        <v>0.08333333333333333</v>
      </c>
      <c r="I582" s="90" t="s">
        <v>291</v>
      </c>
      <c r="J582" s="90"/>
      <c r="K582" s="90"/>
    </row>
    <row r="583" spans="1:11" s="131" customFormat="1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</row>
    <row r="584" spans="1:11" s="131" customFormat="1" ht="12.75">
      <c r="A584" s="90"/>
      <c r="B584" s="90" t="s">
        <v>288</v>
      </c>
      <c r="C584" s="90" t="s">
        <v>290</v>
      </c>
      <c r="E584" s="90"/>
      <c r="F584" s="90"/>
      <c r="G584" s="90"/>
      <c r="H584" s="93">
        <v>3</v>
      </c>
      <c r="I584" s="90" t="s">
        <v>68</v>
      </c>
      <c r="J584" s="90"/>
      <c r="K584" s="90"/>
    </row>
    <row r="585" spans="1:11" s="131" customFormat="1" ht="12.75">
      <c r="A585" s="90"/>
      <c r="B585" s="90" t="s">
        <v>289</v>
      </c>
      <c r="C585" s="90" t="s">
        <v>199</v>
      </c>
      <c r="E585" s="90"/>
      <c r="F585" s="90"/>
      <c r="G585" s="90"/>
      <c r="H585" s="93">
        <v>3</v>
      </c>
      <c r="I585" s="90" t="s">
        <v>68</v>
      </c>
      <c r="J585" s="90"/>
      <c r="K585" s="90"/>
    </row>
    <row r="586" spans="1:11" s="131" customFormat="1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</row>
    <row r="587" spans="1:11" s="131" customFormat="1" ht="12.75">
      <c r="A587" s="90"/>
      <c r="B587" s="90" t="s">
        <v>303</v>
      </c>
      <c r="C587" s="90"/>
      <c r="D587" s="90"/>
      <c r="E587" s="90"/>
      <c r="F587" s="90"/>
      <c r="G587" s="90"/>
      <c r="H587" s="90"/>
      <c r="I587" s="90"/>
      <c r="J587" s="90"/>
      <c r="K587" s="90"/>
    </row>
    <row r="588" spans="1:11" s="131" customFormat="1" ht="12.75">
      <c r="A588" s="217" t="s">
        <v>16</v>
      </c>
      <c r="B588" s="173" t="s">
        <v>299</v>
      </c>
      <c r="C588" s="173"/>
      <c r="D588" s="173"/>
      <c r="E588" s="173"/>
      <c r="F588" s="26">
        <f aca="true" t="shared" si="12" ref="F588:K588">+F570</f>
        <v>0</v>
      </c>
      <c r="G588" s="25">
        <f>+G570</f>
        <v>24342400</v>
      </c>
      <c r="H588" s="26">
        <f t="shared" si="12"/>
        <v>66209633.33333334</v>
      </c>
      <c r="I588" s="25">
        <f t="shared" si="12"/>
        <v>140908236.6666667</v>
      </c>
      <c r="J588" s="26">
        <f t="shared" si="12"/>
        <v>266439211.10000002</v>
      </c>
      <c r="K588" s="26">
        <f t="shared" si="12"/>
        <v>481346254.9829999</v>
      </c>
    </row>
    <row r="589" spans="1:11" s="131" customFormat="1" ht="12.75">
      <c r="A589" s="137"/>
      <c r="B589" s="18">
        <f>+B557</f>
        <v>3</v>
      </c>
      <c r="C589" s="18" t="str">
        <f>+C557</f>
        <v>Modal sendiri</v>
      </c>
      <c r="D589" s="18"/>
      <c r="E589" s="18"/>
      <c r="F589" s="24">
        <f>+F557</f>
        <v>43995000</v>
      </c>
      <c r="G589" s="23"/>
      <c r="H589" s="24"/>
      <c r="I589" s="23"/>
      <c r="J589" s="24"/>
      <c r="K589" s="24"/>
    </row>
    <row r="590" spans="1:11" s="131" customFormat="1" ht="12.75">
      <c r="A590" s="172"/>
      <c r="B590" s="19">
        <f>+B558</f>
        <v>4</v>
      </c>
      <c r="C590" s="19" t="str">
        <f>+C558</f>
        <v>Kredit modal kerja</v>
      </c>
      <c r="D590" s="19"/>
      <c r="E590" s="19"/>
      <c r="F590" s="26">
        <f>+F558</f>
        <v>0</v>
      </c>
      <c r="G590" s="25"/>
      <c r="H590" s="26"/>
      <c r="I590" s="25"/>
      <c r="J590" s="26"/>
      <c r="K590" s="26"/>
    </row>
    <row r="591" spans="1:11" s="131" customFormat="1" ht="12.75">
      <c r="A591" s="137"/>
      <c r="B591" s="18">
        <f aca="true" t="shared" si="13" ref="B591:K592">+B559</f>
        <v>5</v>
      </c>
      <c r="C591" s="18" t="str">
        <f t="shared" si="13"/>
        <v>Kredit investasi</v>
      </c>
      <c r="D591" s="18"/>
      <c r="E591" s="18"/>
      <c r="F591" s="24">
        <f t="shared" si="13"/>
        <v>35000000</v>
      </c>
      <c r="G591" s="23"/>
      <c r="H591" s="24"/>
      <c r="I591" s="23"/>
      <c r="J591" s="24"/>
      <c r="K591" s="24"/>
    </row>
    <row r="592" spans="1:11" s="131" customFormat="1" ht="12.75">
      <c r="A592" s="172"/>
      <c r="B592" s="19">
        <f t="shared" si="13"/>
        <v>6</v>
      </c>
      <c r="C592" s="19" t="str">
        <f t="shared" si="13"/>
        <v>Saldo kas awal</v>
      </c>
      <c r="D592" s="19"/>
      <c r="E592" s="19"/>
      <c r="F592" s="26"/>
      <c r="G592" s="25">
        <f t="shared" si="13"/>
        <v>0</v>
      </c>
      <c r="H592" s="26">
        <f t="shared" si="13"/>
        <v>12675733.333333334</v>
      </c>
      <c r="I592" s="25">
        <f t="shared" si="13"/>
        <v>54542966.66666668</v>
      </c>
      <c r="J592" s="26">
        <f t="shared" si="13"/>
        <v>129241570.00000001</v>
      </c>
      <c r="K592" s="26">
        <f t="shared" si="13"/>
        <v>266439211.10000002</v>
      </c>
    </row>
    <row r="593" spans="1:11" s="131" customFormat="1" ht="12.75">
      <c r="A593" s="172" t="s">
        <v>85</v>
      </c>
      <c r="B593" s="173" t="s">
        <v>300</v>
      </c>
      <c r="C593" s="173"/>
      <c r="D593" s="173"/>
      <c r="E593" s="173"/>
      <c r="F593" s="26">
        <f aca="true" t="shared" si="14" ref="F593:K593">SUM(F589:F592)</f>
        <v>78995000</v>
      </c>
      <c r="G593" s="25">
        <f t="shared" si="14"/>
        <v>0</v>
      </c>
      <c r="H593" s="26">
        <f t="shared" si="14"/>
        <v>12675733.333333334</v>
      </c>
      <c r="I593" s="25">
        <f t="shared" si="14"/>
        <v>54542966.66666668</v>
      </c>
      <c r="J593" s="26">
        <f t="shared" si="14"/>
        <v>129241570.00000001</v>
      </c>
      <c r="K593" s="26">
        <f t="shared" si="14"/>
        <v>266439211.10000002</v>
      </c>
    </row>
    <row r="594" spans="1:11" s="131" customFormat="1" ht="12.75">
      <c r="A594" s="160"/>
      <c r="B594" s="161" t="s">
        <v>322</v>
      </c>
      <c r="C594" s="161"/>
      <c r="D594" s="161"/>
      <c r="E594" s="161"/>
      <c r="F594" s="83">
        <f aca="true" t="shared" si="15" ref="F594:K594">+F588-F593</f>
        <v>-78995000</v>
      </c>
      <c r="G594" s="94">
        <f t="shared" si="15"/>
        <v>24342400</v>
      </c>
      <c r="H594" s="83">
        <f t="shared" si="15"/>
        <v>53533900.00000001</v>
      </c>
      <c r="I594" s="94">
        <f t="shared" si="15"/>
        <v>86365270</v>
      </c>
      <c r="J594" s="83">
        <f t="shared" si="15"/>
        <v>137197641.10000002</v>
      </c>
      <c r="K594" s="83">
        <f t="shared" si="15"/>
        <v>214907043.8829999</v>
      </c>
    </row>
    <row r="595" spans="1:11" s="131" customFormat="1" ht="12.75">
      <c r="A595" s="172"/>
      <c r="B595" s="21" t="s">
        <v>301</v>
      </c>
      <c r="C595" s="173"/>
      <c r="D595" s="173"/>
      <c r="E595" s="173"/>
      <c r="F595" s="95">
        <f>IRR(F594:I594)</f>
        <v>0.3769520471952564</v>
      </c>
      <c r="G595" s="90"/>
      <c r="H595" s="90"/>
      <c r="I595" s="90"/>
      <c r="J595" s="90"/>
      <c r="K595" s="90"/>
    </row>
    <row r="596" spans="1:11" s="131" customFormat="1" ht="12.75">
      <c r="A596" s="160"/>
      <c r="B596" s="22" t="s">
        <v>302</v>
      </c>
      <c r="C596" s="161"/>
      <c r="D596" s="161"/>
      <c r="E596" s="161"/>
      <c r="F596" s="96">
        <f>IRR(F594:K594)</f>
        <v>0.7213024514785507</v>
      </c>
      <c r="G596" s="90"/>
      <c r="H596" s="90"/>
      <c r="I596" s="90"/>
      <c r="J596" s="90"/>
      <c r="K596" s="90"/>
    </row>
    <row r="597" spans="1:11" s="131" customFormat="1" ht="12.75">
      <c r="A597" s="138"/>
      <c r="B597" s="138"/>
      <c r="C597" s="138"/>
      <c r="D597" s="138"/>
      <c r="E597" s="138"/>
      <c r="F597" s="97"/>
      <c r="G597" s="90"/>
      <c r="H597" s="90"/>
      <c r="I597" s="90"/>
      <c r="J597" s="90"/>
      <c r="K597" s="90"/>
    </row>
    <row r="598" spans="1:11" s="131" customFormat="1" ht="18">
      <c r="A598" s="306" t="s">
        <v>203</v>
      </c>
      <c r="B598" s="90"/>
      <c r="C598" s="90"/>
      <c r="D598" s="90"/>
      <c r="E598" s="90"/>
      <c r="F598" s="90"/>
      <c r="G598" s="90"/>
      <c r="H598" s="90"/>
      <c r="I598" s="90"/>
      <c r="J598" s="90"/>
      <c r="K598" s="90"/>
    </row>
    <row r="599" spans="1:11" s="131" customFormat="1" ht="12.75">
      <c r="A599" s="90" t="s">
        <v>170</v>
      </c>
      <c r="B599" s="90"/>
      <c r="C599" s="90"/>
      <c r="D599" s="90"/>
      <c r="E599" s="90"/>
      <c r="F599" s="90"/>
      <c r="G599" s="90"/>
      <c r="H599" s="90"/>
      <c r="I599" s="90"/>
      <c r="J599" s="90"/>
      <c r="K599" s="90"/>
    </row>
    <row r="600" spans="1:37" s="131" customFormat="1" ht="12.75">
      <c r="A600" s="172" t="s">
        <v>145</v>
      </c>
      <c r="B600" s="173"/>
      <c r="C600" s="173"/>
      <c r="D600" s="173"/>
      <c r="E600" s="173"/>
      <c r="F600" s="98" t="s">
        <v>228</v>
      </c>
      <c r="G600" s="99" t="s">
        <v>229</v>
      </c>
      <c r="H600" s="98" t="s">
        <v>230</v>
      </c>
      <c r="I600" s="99" t="s">
        <v>231</v>
      </c>
      <c r="J600" s="98" t="s">
        <v>232</v>
      </c>
      <c r="K600" s="100" t="s">
        <v>233</v>
      </c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  <c r="Y600" s="279"/>
      <c r="Z600" s="279"/>
      <c r="AA600" s="279"/>
      <c r="AB600" s="279"/>
      <c r="AC600" s="279"/>
      <c r="AD600" s="279"/>
      <c r="AE600" s="279"/>
      <c r="AF600" s="279"/>
      <c r="AG600" s="279"/>
      <c r="AH600" s="279"/>
      <c r="AI600" s="279"/>
      <c r="AJ600" s="279"/>
      <c r="AK600" s="279"/>
    </row>
    <row r="601" spans="1:37" s="131" customFormat="1" ht="12.75">
      <c r="A601" s="137" t="s">
        <v>204</v>
      </c>
      <c r="B601" s="138"/>
      <c r="C601" s="138"/>
      <c r="D601" s="138"/>
      <c r="E601" s="138"/>
      <c r="F601" s="101"/>
      <c r="G601" s="102"/>
      <c r="H601" s="101"/>
      <c r="I601" s="102"/>
      <c r="J601" s="101"/>
      <c r="K601" s="103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  <c r="AA601" s="279"/>
      <c r="AB601" s="279"/>
      <c r="AC601" s="279"/>
      <c r="AD601" s="279"/>
      <c r="AE601" s="279"/>
      <c r="AF601" s="279"/>
      <c r="AG601" s="279"/>
      <c r="AH601" s="279"/>
      <c r="AI601" s="279"/>
      <c r="AJ601" s="279"/>
      <c r="AK601" s="279"/>
    </row>
    <row r="602" spans="1:11" s="131" customFormat="1" ht="12.75">
      <c r="A602" s="160" t="s">
        <v>59</v>
      </c>
      <c r="B602" s="161" t="s">
        <v>205</v>
      </c>
      <c r="C602" s="161"/>
      <c r="D602" s="161"/>
      <c r="E602" s="161"/>
      <c r="F602" s="104"/>
      <c r="G602" s="105"/>
      <c r="H602" s="104"/>
      <c r="I602" s="105"/>
      <c r="J602" s="104"/>
      <c r="K602" s="106"/>
    </row>
    <row r="603" spans="1:11" s="131" customFormat="1" ht="12.75">
      <c r="A603" s="172"/>
      <c r="B603" s="173">
        <v>1</v>
      </c>
      <c r="C603" s="173" t="s">
        <v>206</v>
      </c>
      <c r="D603" s="173"/>
      <c r="E603" s="173"/>
      <c r="F603" s="26">
        <f aca="true" t="shared" si="16" ref="F603:K603">+F577</f>
        <v>0</v>
      </c>
      <c r="G603" s="26">
        <f t="shared" si="16"/>
        <v>12675733.333333334</v>
      </c>
      <c r="H603" s="26">
        <f t="shared" si="16"/>
        <v>54542966.66666668</v>
      </c>
      <c r="I603" s="26">
        <f t="shared" si="16"/>
        <v>129241570.00000001</v>
      </c>
      <c r="J603" s="26">
        <f t="shared" si="16"/>
        <v>266439211.10000002</v>
      </c>
      <c r="K603" s="26">
        <f t="shared" si="16"/>
        <v>481346254.9829999</v>
      </c>
    </row>
    <row r="604" spans="1:11" s="131" customFormat="1" ht="12.75">
      <c r="A604" s="172"/>
      <c r="B604" s="173">
        <v>2</v>
      </c>
      <c r="C604" s="173" t="s">
        <v>207</v>
      </c>
      <c r="D604" s="173"/>
      <c r="E604" s="173"/>
      <c r="F604" s="80" t="s">
        <v>244</v>
      </c>
      <c r="G604" s="26">
        <f>+$H$582*G507</f>
        <v>12000000</v>
      </c>
      <c r="H604" s="26">
        <f>+$H$582*H507</f>
        <v>18360000</v>
      </c>
      <c r="I604" s="26">
        <f>+$H$582*I507</f>
        <v>28090800</v>
      </c>
      <c r="J604" s="26">
        <f>+$H$582*J507</f>
        <v>42978924</v>
      </c>
      <c r="K604" s="26">
        <f>+$H$582*K507</f>
        <v>65757753.72</v>
      </c>
    </row>
    <row r="605" spans="1:11" s="131" customFormat="1" ht="12.75">
      <c r="A605" s="172"/>
      <c r="B605" s="173">
        <v>3</v>
      </c>
      <c r="C605" s="173" t="s">
        <v>208</v>
      </c>
      <c r="D605" s="173"/>
      <c r="E605" s="173"/>
      <c r="F605" s="80" t="s">
        <v>244</v>
      </c>
      <c r="G605" s="26">
        <f>+G510</f>
        <v>0</v>
      </c>
      <c r="H605" s="26">
        <f>+H510</f>
        <v>0</v>
      </c>
      <c r="I605" s="26">
        <f>+I510</f>
        <v>0</v>
      </c>
      <c r="J605" s="26">
        <f>+J510</f>
        <v>0</v>
      </c>
      <c r="K605" s="26">
        <f>+K510</f>
        <v>0</v>
      </c>
    </row>
    <row r="606" spans="1:11" s="131" customFormat="1" ht="12.75">
      <c r="A606" s="172"/>
      <c r="B606" s="173"/>
      <c r="C606" s="173" t="s">
        <v>209</v>
      </c>
      <c r="D606" s="173"/>
      <c r="E606" s="173"/>
      <c r="F606" s="26">
        <f aca="true" t="shared" si="17" ref="F606:K606">SUM(F603:F605)</f>
        <v>0</v>
      </c>
      <c r="G606" s="26">
        <f t="shared" si="17"/>
        <v>24675733.333333336</v>
      </c>
      <c r="H606" s="26">
        <f t="shared" si="17"/>
        <v>72902966.66666669</v>
      </c>
      <c r="I606" s="26">
        <f t="shared" si="17"/>
        <v>157332370</v>
      </c>
      <c r="J606" s="26">
        <f t="shared" si="17"/>
        <v>309418135.1</v>
      </c>
      <c r="K606" s="26">
        <f t="shared" si="17"/>
        <v>547104008.703</v>
      </c>
    </row>
    <row r="607" spans="1:11" s="131" customFormat="1" ht="12.75">
      <c r="A607" s="137"/>
      <c r="B607" s="138"/>
      <c r="C607" s="138"/>
      <c r="D607" s="138"/>
      <c r="E607" s="138"/>
      <c r="F607" s="107"/>
      <c r="G607" s="108"/>
      <c r="H607" s="107"/>
      <c r="I607" s="108"/>
      <c r="J607" s="107"/>
      <c r="K607" s="109"/>
    </row>
    <row r="608" spans="1:11" s="131" customFormat="1" ht="12.75">
      <c r="A608" s="160" t="s">
        <v>9</v>
      </c>
      <c r="B608" s="161" t="s">
        <v>146</v>
      </c>
      <c r="C608" s="161"/>
      <c r="D608" s="161"/>
      <c r="E608" s="161"/>
      <c r="F608" s="110"/>
      <c r="G608" s="111"/>
      <c r="H608" s="110"/>
      <c r="I608" s="111"/>
      <c r="J608" s="110"/>
      <c r="K608" s="112"/>
    </row>
    <row r="609" spans="1:11" s="131" customFormat="1" ht="12.75">
      <c r="A609" s="172"/>
      <c r="B609" s="173">
        <v>1</v>
      </c>
      <c r="C609" s="173" t="s">
        <v>115</v>
      </c>
      <c r="D609" s="173"/>
      <c r="E609" s="173"/>
      <c r="F609" s="113">
        <f aca="true" t="shared" si="18" ref="F609:K609">+$K$295</f>
        <v>0</v>
      </c>
      <c r="G609" s="113">
        <f t="shared" si="18"/>
        <v>0</v>
      </c>
      <c r="H609" s="113">
        <f t="shared" si="18"/>
        <v>0</v>
      </c>
      <c r="I609" s="113">
        <f t="shared" si="18"/>
        <v>0</v>
      </c>
      <c r="J609" s="113">
        <f t="shared" si="18"/>
        <v>0</v>
      </c>
      <c r="K609" s="113">
        <f t="shared" si="18"/>
        <v>0</v>
      </c>
    </row>
    <row r="610" spans="1:11" s="131" customFormat="1" ht="12.75">
      <c r="A610" s="172"/>
      <c r="B610" s="173">
        <v>2</v>
      </c>
      <c r="C610" s="173" t="s">
        <v>116</v>
      </c>
      <c r="D610" s="173"/>
      <c r="E610" s="173"/>
      <c r="F610" s="113">
        <f aca="true" t="shared" si="19" ref="F610:K610">+$K$300</f>
        <v>0</v>
      </c>
      <c r="G610" s="113">
        <f t="shared" si="19"/>
        <v>0</v>
      </c>
      <c r="H610" s="113">
        <f t="shared" si="19"/>
        <v>0</v>
      </c>
      <c r="I610" s="113">
        <f t="shared" si="19"/>
        <v>0</v>
      </c>
      <c r="J610" s="113">
        <f t="shared" si="19"/>
        <v>0</v>
      </c>
      <c r="K610" s="113">
        <f t="shared" si="19"/>
        <v>0</v>
      </c>
    </row>
    <row r="611" spans="1:11" s="131" customFormat="1" ht="12.75">
      <c r="A611" s="172"/>
      <c r="B611" s="173">
        <v>3</v>
      </c>
      <c r="C611" s="173" t="s">
        <v>179</v>
      </c>
      <c r="D611" s="173"/>
      <c r="E611" s="173"/>
      <c r="F611" s="113">
        <f aca="true" t="shared" si="20" ref="F611:K611">+$K$327</f>
        <v>25645000</v>
      </c>
      <c r="G611" s="113">
        <f t="shared" si="20"/>
        <v>25645000</v>
      </c>
      <c r="H611" s="113">
        <f t="shared" si="20"/>
        <v>25645000</v>
      </c>
      <c r="I611" s="113">
        <f t="shared" si="20"/>
        <v>25645000</v>
      </c>
      <c r="J611" s="113">
        <f t="shared" si="20"/>
        <v>25645000</v>
      </c>
      <c r="K611" s="113">
        <f t="shared" si="20"/>
        <v>25645000</v>
      </c>
    </row>
    <row r="612" spans="1:11" s="131" customFormat="1" ht="12.75">
      <c r="A612" s="172"/>
      <c r="B612" s="173">
        <v>4</v>
      </c>
      <c r="C612" s="173" t="s">
        <v>148</v>
      </c>
      <c r="D612" s="173"/>
      <c r="E612" s="173"/>
      <c r="F612" s="113">
        <f aca="true" t="shared" si="21" ref="F612:K612">+$K$334</f>
        <v>1850000</v>
      </c>
      <c r="G612" s="113">
        <f t="shared" si="21"/>
        <v>1850000</v>
      </c>
      <c r="H612" s="113">
        <f t="shared" si="21"/>
        <v>1850000</v>
      </c>
      <c r="I612" s="113">
        <f t="shared" si="21"/>
        <v>1850000</v>
      </c>
      <c r="J612" s="113">
        <f t="shared" si="21"/>
        <v>1850000</v>
      </c>
      <c r="K612" s="113">
        <f t="shared" si="21"/>
        <v>1850000</v>
      </c>
    </row>
    <row r="613" spans="1:11" s="131" customFormat="1" ht="12.75">
      <c r="A613" s="172"/>
      <c r="B613" s="173">
        <v>5</v>
      </c>
      <c r="C613" s="173" t="s">
        <v>118</v>
      </c>
      <c r="D613" s="173"/>
      <c r="E613" s="173"/>
      <c r="F613" s="113">
        <f aca="true" t="shared" si="22" ref="F613:K613">+$K$339</f>
        <v>0</v>
      </c>
      <c r="G613" s="113">
        <f t="shared" si="22"/>
        <v>0</v>
      </c>
      <c r="H613" s="113">
        <f t="shared" si="22"/>
        <v>0</v>
      </c>
      <c r="I613" s="113">
        <f t="shared" si="22"/>
        <v>0</v>
      </c>
      <c r="J613" s="113">
        <f t="shared" si="22"/>
        <v>0</v>
      </c>
      <c r="K613" s="113">
        <f t="shared" si="22"/>
        <v>0</v>
      </c>
    </row>
    <row r="614" spans="1:11" s="131" customFormat="1" ht="12.75">
      <c r="A614" s="172"/>
      <c r="B614" s="173"/>
      <c r="C614" s="173" t="s">
        <v>209</v>
      </c>
      <c r="D614" s="173"/>
      <c r="E614" s="173"/>
      <c r="F614" s="113">
        <f aca="true" t="shared" si="23" ref="F614:K614">SUM(F609:F613)</f>
        <v>27495000</v>
      </c>
      <c r="G614" s="113">
        <f t="shared" si="23"/>
        <v>27495000</v>
      </c>
      <c r="H614" s="113">
        <f t="shared" si="23"/>
        <v>27495000</v>
      </c>
      <c r="I614" s="113">
        <f t="shared" si="23"/>
        <v>27495000</v>
      </c>
      <c r="J614" s="113">
        <f t="shared" si="23"/>
        <v>27495000</v>
      </c>
      <c r="K614" s="113">
        <f t="shared" si="23"/>
        <v>27495000</v>
      </c>
    </row>
    <row r="615" spans="1:11" s="131" customFormat="1" ht="12.75">
      <c r="A615" s="172"/>
      <c r="B615" s="173"/>
      <c r="C615" s="173" t="s">
        <v>210</v>
      </c>
      <c r="D615" s="173"/>
      <c r="E615" s="173"/>
      <c r="F615" s="114"/>
      <c r="G615" s="113">
        <f>+$K$533</f>
        <v>5499000</v>
      </c>
      <c r="H615" s="113">
        <f>2*$K$533</f>
        <v>10998000</v>
      </c>
      <c r="I615" s="113">
        <f>3*$K$533</f>
        <v>16497000</v>
      </c>
      <c r="J615" s="113">
        <f>4*$K$533</f>
        <v>21996000</v>
      </c>
      <c r="K615" s="113">
        <f>5*$K$533</f>
        <v>27495000</v>
      </c>
    </row>
    <row r="616" spans="1:11" s="131" customFormat="1" ht="12.75">
      <c r="A616" s="172"/>
      <c r="B616" s="173"/>
      <c r="C616" s="173" t="s">
        <v>211</v>
      </c>
      <c r="D616" s="173"/>
      <c r="E616" s="173"/>
      <c r="F616" s="113">
        <f aca="true" t="shared" si="24" ref="F616:K616">+F614-F615</f>
        <v>27495000</v>
      </c>
      <c r="G616" s="113">
        <f t="shared" si="24"/>
        <v>21996000</v>
      </c>
      <c r="H616" s="113">
        <f t="shared" si="24"/>
        <v>16497000</v>
      </c>
      <c r="I616" s="113">
        <f t="shared" si="24"/>
        <v>10998000</v>
      </c>
      <c r="J616" s="113">
        <f t="shared" si="24"/>
        <v>5499000</v>
      </c>
      <c r="K616" s="113">
        <f t="shared" si="24"/>
        <v>0</v>
      </c>
    </row>
    <row r="617" spans="1:11" s="131" customFormat="1" ht="12.75">
      <c r="A617" s="137"/>
      <c r="B617" s="138"/>
      <c r="C617" s="138"/>
      <c r="D617" s="138"/>
      <c r="E617" s="138"/>
      <c r="F617" s="115"/>
      <c r="G617" s="18"/>
      <c r="H617" s="115"/>
      <c r="I617" s="18"/>
      <c r="J617" s="115"/>
      <c r="K617" s="116"/>
    </row>
    <row r="618" spans="1:11" s="131" customFormat="1" ht="12.75">
      <c r="A618" s="160" t="s">
        <v>16</v>
      </c>
      <c r="B618" s="161" t="s">
        <v>212</v>
      </c>
      <c r="C618" s="161"/>
      <c r="D618" s="161"/>
      <c r="E618" s="161"/>
      <c r="F618" s="117">
        <f>+$I$475</f>
        <v>51500000</v>
      </c>
      <c r="G618" s="117">
        <f>+$I$475</f>
        <v>51500000</v>
      </c>
      <c r="H618" s="117">
        <f>+$I$475</f>
        <v>51500000</v>
      </c>
      <c r="I618" s="117">
        <f>+($I$536+$I$537+$I$563)</f>
        <v>51500000</v>
      </c>
      <c r="J618" s="117">
        <f>+($I$536+$I$537+$I$563)</f>
        <v>51500000</v>
      </c>
      <c r="K618" s="117">
        <f>+($I$536+$I$537+$K$563)</f>
        <v>51500000</v>
      </c>
    </row>
    <row r="619" spans="1:11" s="131" customFormat="1" ht="12.75">
      <c r="A619" s="172"/>
      <c r="B619" s="173"/>
      <c r="C619" s="173" t="s">
        <v>213</v>
      </c>
      <c r="D619" s="173"/>
      <c r="E619" s="173"/>
      <c r="F619" s="114"/>
      <c r="G619" s="19">
        <f>+K538</f>
        <v>10300000</v>
      </c>
      <c r="H619" s="113">
        <f>2*$G$619</f>
        <v>20600000</v>
      </c>
      <c r="I619" s="117">
        <f>+((3*$I$536/5)+(3*$I$537/5)+$I$563/2)</f>
        <v>30900000</v>
      </c>
      <c r="J619" s="117">
        <f>+((4*$I$536/5)+(4*$I$537/5)+2*$I$563/2)</f>
        <v>41200000</v>
      </c>
      <c r="K619" s="117">
        <f>+((5*$I$536/5)+(5*$I$537/5)+$K$563/2)</f>
        <v>51500000</v>
      </c>
    </row>
    <row r="620" spans="1:11" s="131" customFormat="1" ht="12.75">
      <c r="A620" s="172"/>
      <c r="B620" s="173"/>
      <c r="C620" s="173" t="s">
        <v>211</v>
      </c>
      <c r="D620" s="173"/>
      <c r="E620" s="173"/>
      <c r="F620" s="113">
        <f aca="true" t="shared" si="25" ref="F620:K620">+F618-F619</f>
        <v>51500000</v>
      </c>
      <c r="G620" s="113">
        <f t="shared" si="25"/>
        <v>41200000</v>
      </c>
      <c r="H620" s="113">
        <f t="shared" si="25"/>
        <v>30900000</v>
      </c>
      <c r="I620" s="113">
        <f t="shared" si="25"/>
        <v>20600000</v>
      </c>
      <c r="J620" s="113">
        <f t="shared" si="25"/>
        <v>10300000</v>
      </c>
      <c r="K620" s="113">
        <f t="shared" si="25"/>
        <v>0</v>
      </c>
    </row>
    <row r="621" spans="1:11" s="131" customFormat="1" ht="12.75">
      <c r="A621" s="137"/>
      <c r="B621" s="138"/>
      <c r="C621" s="138"/>
      <c r="D621" s="138"/>
      <c r="E621" s="138"/>
      <c r="F621" s="115"/>
      <c r="G621" s="18"/>
      <c r="H621" s="115"/>
      <c r="I621" s="18"/>
      <c r="J621" s="115"/>
      <c r="K621" s="116"/>
    </row>
    <row r="622" spans="1:11" s="131" customFormat="1" ht="13.5" thickBot="1">
      <c r="A622" s="280" t="s">
        <v>271</v>
      </c>
      <c r="B622" s="281"/>
      <c r="C622" s="281"/>
      <c r="D622" s="281"/>
      <c r="E622" s="281"/>
      <c r="F622" s="118">
        <f aca="true" t="shared" si="26" ref="F622:K622">+F606+F616+F620</f>
        <v>78995000</v>
      </c>
      <c r="G622" s="118">
        <f t="shared" si="26"/>
        <v>87871733.33333334</v>
      </c>
      <c r="H622" s="118">
        <f t="shared" si="26"/>
        <v>120299966.66666669</v>
      </c>
      <c r="I622" s="118">
        <f t="shared" si="26"/>
        <v>188930370</v>
      </c>
      <c r="J622" s="118">
        <f t="shared" si="26"/>
        <v>325217135.1</v>
      </c>
      <c r="K622" s="118">
        <f t="shared" si="26"/>
        <v>547104008.703</v>
      </c>
    </row>
    <row r="623" spans="1:11" s="131" customFormat="1" ht="13.5" thickTop="1">
      <c r="A623" s="160" t="s">
        <v>215</v>
      </c>
      <c r="B623" s="161"/>
      <c r="C623" s="161"/>
      <c r="D623" s="161"/>
      <c r="E623" s="161"/>
      <c r="F623" s="119"/>
      <c r="G623" s="120"/>
      <c r="H623" s="119"/>
      <c r="I623" s="120"/>
      <c r="J623" s="119"/>
      <c r="K623" s="121"/>
    </row>
    <row r="624" spans="1:11" s="131" customFormat="1" ht="12.75">
      <c r="A624" s="172" t="s">
        <v>59</v>
      </c>
      <c r="B624" s="173" t="s">
        <v>216</v>
      </c>
      <c r="C624" s="173"/>
      <c r="D624" s="173"/>
      <c r="E624" s="173"/>
      <c r="F624" s="122"/>
      <c r="G624" s="123"/>
      <c r="H624" s="122"/>
      <c r="I624" s="123"/>
      <c r="J624" s="122"/>
      <c r="K624" s="124"/>
    </row>
    <row r="625" spans="1:11" s="131" customFormat="1" ht="12.75">
      <c r="A625" s="172"/>
      <c r="B625" s="173">
        <v>1</v>
      </c>
      <c r="C625" s="173" t="s">
        <v>190</v>
      </c>
      <c r="D625" s="173"/>
      <c r="E625" s="173"/>
      <c r="F625" s="26">
        <f>+K496</f>
        <v>0</v>
      </c>
      <c r="G625" s="25">
        <f>IF(F625=0,0,F625-G573)</f>
        <v>0</v>
      </c>
      <c r="H625" s="25">
        <f>IF(G625=0,0,G625-H573)</f>
        <v>0</v>
      </c>
      <c r="I625" s="25">
        <f>IF(H625=0,0,H625-I573)</f>
        <v>0</v>
      </c>
      <c r="J625" s="25">
        <f>IF(I625=0,0,I625-J573)</f>
        <v>0</v>
      </c>
      <c r="K625" s="25">
        <f>IF(J625=0,0,J625-K573)</f>
        <v>0</v>
      </c>
    </row>
    <row r="626" spans="1:11" s="131" customFormat="1" ht="12.75">
      <c r="A626" s="172"/>
      <c r="B626" s="173">
        <v>2</v>
      </c>
      <c r="C626" s="173"/>
      <c r="D626" s="173"/>
      <c r="E626" s="173"/>
      <c r="F626" s="80"/>
      <c r="G626" s="81"/>
      <c r="H626" s="80"/>
      <c r="I626" s="81"/>
      <c r="J626" s="80"/>
      <c r="K626" s="82"/>
    </row>
    <row r="627" spans="1:13" s="131" customFormat="1" ht="12.75">
      <c r="A627" s="172"/>
      <c r="B627" s="173" t="s">
        <v>209</v>
      </c>
      <c r="C627" s="173"/>
      <c r="D627" s="173"/>
      <c r="E627" s="173"/>
      <c r="F627" s="26">
        <f aca="true" t="shared" si="27" ref="F627:K627">SUM(F625:F626)</f>
        <v>0</v>
      </c>
      <c r="G627" s="26">
        <f t="shared" si="27"/>
        <v>0</v>
      </c>
      <c r="H627" s="26">
        <f t="shared" si="27"/>
        <v>0</v>
      </c>
      <c r="I627" s="26">
        <f t="shared" si="27"/>
        <v>0</v>
      </c>
      <c r="J627" s="26">
        <f t="shared" si="27"/>
        <v>0</v>
      </c>
      <c r="K627" s="26">
        <f t="shared" si="27"/>
        <v>0</v>
      </c>
      <c r="M627" s="90"/>
    </row>
    <row r="628" spans="1:11" s="131" customFormat="1" ht="12.75">
      <c r="A628" s="137"/>
      <c r="B628" s="138"/>
      <c r="C628" s="138"/>
      <c r="D628" s="138"/>
      <c r="E628" s="138"/>
      <c r="F628" s="107"/>
      <c r="G628" s="108"/>
      <c r="H628" s="107"/>
      <c r="I628" s="108"/>
      <c r="J628" s="107"/>
      <c r="K628" s="109"/>
    </row>
    <row r="629" spans="1:11" s="131" customFormat="1" ht="12.75">
      <c r="A629" s="160" t="s">
        <v>9</v>
      </c>
      <c r="B629" s="161" t="s">
        <v>217</v>
      </c>
      <c r="C629" s="161"/>
      <c r="D629" s="161"/>
      <c r="E629" s="161"/>
      <c r="F629" s="110"/>
      <c r="G629" s="111"/>
      <c r="H629" s="110"/>
      <c r="I629" s="111"/>
      <c r="J629" s="110"/>
      <c r="K629" s="112"/>
    </row>
    <row r="630" spans="1:13" s="131" customFormat="1" ht="12.75">
      <c r="A630" s="172"/>
      <c r="B630" s="173">
        <v>1</v>
      </c>
      <c r="C630" s="173" t="s">
        <v>191</v>
      </c>
      <c r="D630" s="173"/>
      <c r="E630" s="173"/>
      <c r="F630" s="113">
        <f>+K476</f>
        <v>35000000</v>
      </c>
      <c r="G630" s="113">
        <f>IF(F630-G574&lt;=0,0,F630-G574)</f>
        <v>23333333.333333336</v>
      </c>
      <c r="H630" s="113">
        <f>IF(G630-H574&lt;=0,0,G630-H574)</f>
        <v>11666666.66666667</v>
      </c>
      <c r="I630" s="113">
        <f>IF(H630-I574&lt;=0,0,H630-I574)</f>
        <v>3.725290298461914E-09</v>
      </c>
      <c r="J630" s="113">
        <f>IF(I630-J574&lt;=0,0,I630-J574)</f>
        <v>3.725290298461914E-09</v>
      </c>
      <c r="K630" s="113">
        <f>IF(J630-K574&lt;=0,0,J630-K574)</f>
        <v>3.725290298461914E-09</v>
      </c>
      <c r="M630" s="90"/>
    </row>
    <row r="631" spans="1:11" s="131" customFormat="1" ht="12.75">
      <c r="A631" s="172"/>
      <c r="B631" s="173">
        <v>2</v>
      </c>
      <c r="C631" s="173"/>
      <c r="D631" s="173"/>
      <c r="E631" s="173"/>
      <c r="F631" s="113"/>
      <c r="G631" s="19"/>
      <c r="H631" s="113"/>
      <c r="I631" s="19"/>
      <c r="J631" s="113"/>
      <c r="K631" s="125"/>
    </row>
    <row r="632" spans="1:11" s="131" customFormat="1" ht="12.75">
      <c r="A632" s="172"/>
      <c r="B632" s="173" t="s">
        <v>209</v>
      </c>
      <c r="C632" s="173"/>
      <c r="D632" s="173"/>
      <c r="E632" s="173"/>
      <c r="F632" s="113">
        <f aca="true" t="shared" si="28" ref="F632:K632">SUM(F630:F631)</f>
        <v>35000000</v>
      </c>
      <c r="G632" s="113">
        <f t="shared" si="28"/>
        <v>23333333.333333336</v>
      </c>
      <c r="H632" s="113">
        <f t="shared" si="28"/>
        <v>11666666.66666667</v>
      </c>
      <c r="I632" s="113">
        <f t="shared" si="28"/>
        <v>3.725290298461914E-09</v>
      </c>
      <c r="J632" s="113">
        <f t="shared" si="28"/>
        <v>3.725290298461914E-09</v>
      </c>
      <c r="K632" s="113">
        <f t="shared" si="28"/>
        <v>3.725290298461914E-09</v>
      </c>
    </row>
    <row r="633" spans="1:11" s="131" customFormat="1" ht="12.75">
      <c r="A633" s="137"/>
      <c r="B633" s="138"/>
      <c r="C633" s="138"/>
      <c r="D633" s="138"/>
      <c r="E633" s="138"/>
      <c r="F633" s="115"/>
      <c r="G633" s="18"/>
      <c r="H633" s="115"/>
      <c r="I633" s="18"/>
      <c r="J633" s="115"/>
      <c r="K633" s="116"/>
    </row>
    <row r="634" spans="1:11" s="131" customFormat="1" ht="12.75">
      <c r="A634" s="160"/>
      <c r="B634" s="161" t="s">
        <v>218</v>
      </c>
      <c r="C634" s="161"/>
      <c r="D634" s="161"/>
      <c r="E634" s="161"/>
      <c r="F634" s="83">
        <f aca="true" t="shared" si="29" ref="F634:K634">+F627+F632</f>
        <v>35000000</v>
      </c>
      <c r="G634" s="83">
        <f t="shared" si="29"/>
        <v>23333333.333333336</v>
      </c>
      <c r="H634" s="117">
        <f t="shared" si="29"/>
        <v>11666666.66666667</v>
      </c>
      <c r="I634" s="117">
        <f t="shared" si="29"/>
        <v>3.725290298461914E-09</v>
      </c>
      <c r="J634" s="117">
        <f t="shared" si="29"/>
        <v>3.725290298461914E-09</v>
      </c>
      <c r="K634" s="117">
        <f t="shared" si="29"/>
        <v>3.725290298461914E-09</v>
      </c>
    </row>
    <row r="635" spans="1:11" s="131" customFormat="1" ht="12.75">
      <c r="A635" s="137"/>
      <c r="B635" s="138"/>
      <c r="C635" s="138"/>
      <c r="D635" s="138"/>
      <c r="E635" s="138"/>
      <c r="F635" s="107"/>
      <c r="G635" s="108"/>
      <c r="H635" s="107"/>
      <c r="I635" s="108"/>
      <c r="J635" s="107"/>
      <c r="K635" s="109"/>
    </row>
    <row r="636" spans="1:11" s="131" customFormat="1" ht="12.75">
      <c r="A636" s="160" t="s">
        <v>16</v>
      </c>
      <c r="B636" s="161" t="s">
        <v>219</v>
      </c>
      <c r="C636" s="161"/>
      <c r="D636" s="161"/>
      <c r="E636" s="161"/>
      <c r="F636" s="110"/>
      <c r="G636" s="111"/>
      <c r="H636" s="110"/>
      <c r="I636" s="111"/>
      <c r="J636" s="110"/>
      <c r="K636" s="112"/>
    </row>
    <row r="637" spans="1:11" s="131" customFormat="1" ht="12.75">
      <c r="A637" s="172"/>
      <c r="B637" s="173">
        <v>1</v>
      </c>
      <c r="C637" s="173" t="s">
        <v>189</v>
      </c>
      <c r="D637" s="173"/>
      <c r="E637" s="173"/>
      <c r="F637" s="113">
        <f aca="true" t="shared" si="30" ref="F637:K637">+$J$497</f>
        <v>43995000</v>
      </c>
      <c r="G637" s="113">
        <f t="shared" si="30"/>
        <v>43995000</v>
      </c>
      <c r="H637" s="113">
        <f t="shared" si="30"/>
        <v>43995000</v>
      </c>
      <c r="I637" s="113">
        <f t="shared" si="30"/>
        <v>43995000</v>
      </c>
      <c r="J637" s="113">
        <f t="shared" si="30"/>
        <v>43995000</v>
      </c>
      <c r="K637" s="113">
        <f t="shared" si="30"/>
        <v>43995000</v>
      </c>
    </row>
    <row r="638" spans="1:11" s="131" customFormat="1" ht="12.75">
      <c r="A638" s="172"/>
      <c r="B638" s="173">
        <v>2</v>
      </c>
      <c r="C638" s="173" t="s">
        <v>220</v>
      </c>
      <c r="D638" s="173"/>
      <c r="E638" s="173"/>
      <c r="F638" s="122"/>
      <c r="G638" s="123"/>
      <c r="H638" s="26">
        <f>+G638+G639</f>
        <v>20543400</v>
      </c>
      <c r="I638" s="26">
        <f>+H638+H639</f>
        <v>64638299.99999999</v>
      </c>
      <c r="J638" s="26">
        <f>+I638+I639</f>
        <v>144935369.99999997</v>
      </c>
      <c r="K638" s="26">
        <f>+J638+J639</f>
        <v>281222135.09999996</v>
      </c>
    </row>
    <row r="639" spans="1:11" s="131" customFormat="1" ht="12.75">
      <c r="A639" s="172"/>
      <c r="B639" s="173">
        <v>3</v>
      </c>
      <c r="C639" s="173" t="s">
        <v>221</v>
      </c>
      <c r="D639" s="173"/>
      <c r="E639" s="173"/>
      <c r="F639" s="122"/>
      <c r="G639" s="26">
        <f>+G521</f>
        <v>20543400</v>
      </c>
      <c r="H639" s="87">
        <f>+H521</f>
        <v>44094899.99999999</v>
      </c>
      <c r="I639" s="26">
        <f>+I521</f>
        <v>80297069.99999999</v>
      </c>
      <c r="J639" s="26">
        <f>+J521</f>
        <v>136286765.1</v>
      </c>
      <c r="K639" s="26">
        <f>+K521</f>
        <v>221886873.60299996</v>
      </c>
    </row>
    <row r="640" spans="1:11" s="131" customFormat="1" ht="12.75">
      <c r="A640" s="172"/>
      <c r="B640" s="173" t="s">
        <v>222</v>
      </c>
      <c r="C640" s="173"/>
      <c r="D640" s="173"/>
      <c r="E640" s="173"/>
      <c r="F640" s="26">
        <f aca="true" t="shared" si="31" ref="F640:K640">SUM(F637:F639)</f>
        <v>43995000</v>
      </c>
      <c r="G640" s="26">
        <f t="shared" si="31"/>
        <v>64538400</v>
      </c>
      <c r="H640" s="26">
        <f t="shared" si="31"/>
        <v>108633300</v>
      </c>
      <c r="I640" s="26">
        <f t="shared" si="31"/>
        <v>188930370</v>
      </c>
      <c r="J640" s="26">
        <f t="shared" si="31"/>
        <v>325217135.09999996</v>
      </c>
      <c r="K640" s="26">
        <f t="shared" si="31"/>
        <v>547104008.703</v>
      </c>
    </row>
    <row r="641" spans="1:11" s="131" customFormat="1" ht="12.75">
      <c r="A641" s="137" t="s">
        <v>223</v>
      </c>
      <c r="B641" s="138"/>
      <c r="C641" s="138"/>
      <c r="D641" s="138"/>
      <c r="E641" s="138"/>
      <c r="F641" s="24">
        <f aca="true" t="shared" si="32" ref="F641:K641">+F627+F632+F640</f>
        <v>78995000</v>
      </c>
      <c r="G641" s="24">
        <f t="shared" si="32"/>
        <v>87871733.33333334</v>
      </c>
      <c r="H641" s="24">
        <f t="shared" si="32"/>
        <v>120299966.66666667</v>
      </c>
      <c r="I641" s="24">
        <f t="shared" si="32"/>
        <v>188930370</v>
      </c>
      <c r="J641" s="24">
        <f t="shared" si="32"/>
        <v>325217135.09999996</v>
      </c>
      <c r="K641" s="24">
        <f t="shared" si="32"/>
        <v>547104008.703</v>
      </c>
    </row>
    <row r="642" spans="1:11" s="131" customFormat="1" ht="12.75">
      <c r="A642" s="160" t="s">
        <v>214</v>
      </c>
      <c r="B642" s="161"/>
      <c r="C642" s="161"/>
      <c r="D642" s="161"/>
      <c r="E642" s="161"/>
      <c r="F642" s="83"/>
      <c r="G642" s="94"/>
      <c r="H642" s="83"/>
      <c r="I642" s="94"/>
      <c r="J642" s="83"/>
      <c r="K642" s="126"/>
    </row>
    <row r="643" spans="1:11" s="131" customFormat="1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</row>
    <row r="644" spans="1:11" s="131" customFormat="1" ht="18">
      <c r="A644" s="307" t="s">
        <v>296</v>
      </c>
      <c r="B644" s="173"/>
      <c r="C644" s="173"/>
      <c r="D644" s="173"/>
      <c r="E644" s="173"/>
      <c r="F644" s="127"/>
      <c r="G644" s="95">
        <f>+G639/G641</f>
        <v>0.2337884917106449</v>
      </c>
      <c r="H644" s="95">
        <f>+H639/H641</f>
        <v>0.36654124869527527</v>
      </c>
      <c r="I644" s="95">
        <f>+I639/I641</f>
        <v>0.42500880086139664</v>
      </c>
      <c r="J644" s="95">
        <f>+J639/J641</f>
        <v>0.41906391266282333</v>
      </c>
      <c r="K644" s="95">
        <f>+K639/K641</f>
        <v>0.40556616305740345</v>
      </c>
    </row>
    <row r="645" spans="1:11" s="131" customFormat="1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</row>
    <row r="646" spans="1:14" s="131" customFormat="1" ht="12.75">
      <c r="A646" s="172"/>
      <c r="B646" s="173" t="s">
        <v>307</v>
      </c>
      <c r="C646" s="173"/>
      <c r="D646" s="173"/>
      <c r="E646" s="173"/>
      <c r="F646" s="77">
        <f aca="true" t="shared" si="33" ref="F646:K646">+F622-F641</f>
        <v>0</v>
      </c>
      <c r="G646" s="77">
        <f t="shared" si="33"/>
        <v>0</v>
      </c>
      <c r="H646" s="77">
        <f t="shared" si="33"/>
        <v>0</v>
      </c>
      <c r="I646" s="77">
        <f t="shared" si="33"/>
        <v>0</v>
      </c>
      <c r="J646" s="77">
        <f t="shared" si="33"/>
        <v>0</v>
      </c>
      <c r="K646" s="77">
        <f t="shared" si="33"/>
        <v>0</v>
      </c>
      <c r="L646" s="78"/>
      <c r="M646" s="78"/>
      <c r="N646" s="78"/>
    </row>
    <row r="647" spans="1:11" s="131" customFormat="1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</row>
    <row r="648" spans="1:11" s="131" customFormat="1" ht="12.75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s="131" customFormat="1" ht="12.75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</row>
    <row r="650" spans="1:11" s="131" customFormat="1" ht="12.75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</row>
    <row r="651" spans="1:11" s="131" customFormat="1" ht="12.75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</row>
    <row r="652" spans="1:11" s="131" customFormat="1" ht="12.75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</row>
    <row r="653" spans="1:11" s="131" customFormat="1" ht="12.75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</row>
    <row r="654" spans="1:11" s="131" customFormat="1" ht="12.75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</row>
    <row r="655" spans="1:11" s="131" customFormat="1" ht="12.75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</row>
    <row r="656" spans="1:11" s="131" customFormat="1" ht="12.75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</row>
    <row r="657" spans="1:11" s="131" customFormat="1" ht="12.75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</row>
    <row r="658" spans="1:11" s="131" customFormat="1" ht="12.75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</row>
    <row r="659" spans="1:11" s="131" customFormat="1" ht="12.75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</row>
    <row r="660" spans="1:11" s="131" customFormat="1" ht="12.75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</row>
    <row r="661" spans="1:11" s="131" customFormat="1" ht="12.75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</row>
    <row r="662" spans="1:11" s="131" customFormat="1" ht="12.75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</row>
    <row r="663" spans="1:11" s="131" customFormat="1" ht="12.75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</row>
    <row r="664" spans="1:11" s="131" customFormat="1" ht="12.75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</row>
    <row r="665" spans="1:11" s="131" customFormat="1" ht="12.75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</row>
    <row r="666" spans="1:11" s="131" customFormat="1" ht="12.75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</row>
    <row r="667" spans="1:11" s="131" customFormat="1" ht="12.75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</row>
    <row r="668" spans="1:11" s="131" customFormat="1" ht="12.75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</row>
    <row r="669" spans="1:11" s="131" customFormat="1" ht="12.75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</row>
    <row r="670" spans="1:11" s="131" customFormat="1" ht="12.75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</row>
    <row r="671" spans="1:11" s="131" customFormat="1" ht="12.75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</row>
    <row r="672" spans="1:11" s="131" customFormat="1" ht="12.75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</row>
    <row r="673" spans="1:11" s="131" customFormat="1" ht="12.75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</row>
    <row r="674" spans="1:11" s="131" customFormat="1" ht="12.75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</row>
    <row r="675" spans="1:11" s="131" customFormat="1" ht="12.75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</row>
    <row r="676" spans="1:11" s="131" customFormat="1" ht="12.75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</row>
    <row r="677" spans="1:11" s="131" customFormat="1" ht="12.75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</row>
    <row r="678" spans="1:11" s="131" customFormat="1" ht="12.75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</row>
    <row r="679" spans="1:11" s="131" customFormat="1" ht="12.75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</row>
    <row r="680" spans="1:11" s="131" customFormat="1" ht="12.75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</row>
    <row r="681" spans="1:11" s="131" customFormat="1" ht="12.75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</row>
    <row r="682" spans="1:11" s="131" customFormat="1" ht="12.75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</row>
    <row r="683" spans="1:11" s="131" customFormat="1" ht="12.75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</row>
    <row r="684" spans="1:11" s="131" customFormat="1" ht="12.75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</row>
    <row r="685" spans="1:11" s="131" customFormat="1" ht="12.75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</row>
    <row r="686" spans="1:11" s="131" customFormat="1" ht="12.75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</row>
    <row r="687" spans="1:11" s="131" customFormat="1" ht="12.75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</row>
    <row r="688" spans="1:11" s="131" customFormat="1" ht="12.75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</row>
    <row r="689" spans="1:11" s="131" customFormat="1" ht="12.75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</row>
    <row r="690" spans="1:11" s="131" customFormat="1" ht="12.75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</row>
    <row r="691" spans="1:11" s="131" customFormat="1" ht="12.75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</row>
    <row r="692" spans="1:11" s="131" customFormat="1" ht="12.75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</row>
    <row r="693" spans="1:11" s="131" customFormat="1" ht="12.75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</row>
    <row r="694" spans="1:11" s="131" customFormat="1" ht="12.75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</row>
    <row r="695" spans="1:11" s="131" customFormat="1" ht="12.75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</row>
    <row r="696" spans="1:11" s="131" customFormat="1" ht="12.75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</row>
    <row r="697" spans="1:11" s="131" customFormat="1" ht="12.75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</row>
    <row r="698" spans="1:11" s="131" customFormat="1" ht="12.75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</row>
    <row r="699" spans="1:11" s="131" customFormat="1" ht="12.75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</row>
    <row r="700" spans="1:11" s="131" customFormat="1" ht="12.75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</row>
    <row r="701" spans="1:11" s="131" customFormat="1" ht="12.75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</row>
    <row r="702" spans="1:11" s="131" customFormat="1" ht="12.75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</row>
    <row r="703" spans="1:11" s="131" customFormat="1" ht="12.75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</row>
    <row r="704" spans="1:11" s="131" customFormat="1" ht="12.75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</row>
    <row r="705" spans="1:11" s="131" customFormat="1" ht="12.75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</row>
    <row r="706" spans="1:11" s="131" customFormat="1" ht="12.75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</row>
    <row r="707" spans="1:11" s="131" customFormat="1" ht="12.75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</row>
    <row r="708" spans="1:11" s="131" customFormat="1" ht="12.75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</row>
    <row r="709" spans="1:11" s="131" customFormat="1" ht="12.75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</row>
    <row r="710" spans="1:11" s="131" customFormat="1" ht="12.75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</row>
    <row r="711" spans="1:11" s="131" customFormat="1" ht="12.75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</row>
    <row r="712" spans="1:11" s="131" customFormat="1" ht="12.75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</row>
    <row r="713" spans="1:11" s="131" customFormat="1" ht="12.75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</row>
    <row r="714" spans="1:11" s="131" customFormat="1" ht="12.75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</row>
    <row r="715" spans="1:11" s="131" customFormat="1" ht="12.75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</row>
    <row r="716" spans="1:11" s="131" customFormat="1" ht="12.75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</row>
    <row r="717" spans="1:11" s="131" customFormat="1" ht="12.75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</row>
    <row r="718" spans="1:11" s="131" customFormat="1" ht="12.75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</row>
    <row r="719" spans="1:11" s="131" customFormat="1" ht="12.75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</row>
    <row r="720" spans="1:11" s="131" customFormat="1" ht="12.75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</row>
    <row r="721" spans="1:11" s="131" customFormat="1" ht="12.75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</row>
    <row r="722" spans="1:11" s="131" customFormat="1" ht="12.75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</row>
    <row r="723" spans="1:11" s="131" customFormat="1" ht="12.75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</row>
    <row r="724" spans="1:11" s="131" customFormat="1" ht="12.75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</row>
    <row r="725" spans="1:11" s="131" customFormat="1" ht="12.75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</row>
    <row r="726" spans="1:11" s="131" customFormat="1" ht="12.75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</row>
    <row r="727" spans="1:11" s="131" customFormat="1" ht="12.75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</row>
    <row r="728" spans="1:11" s="131" customFormat="1" ht="12.75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</row>
    <row r="729" spans="1:11" s="131" customFormat="1" ht="12.75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</row>
    <row r="730" spans="1:11" s="131" customFormat="1" ht="12.75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</row>
    <row r="731" spans="1:11" s="131" customFormat="1" ht="12.75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</row>
    <row r="732" spans="1:11" s="131" customFormat="1" ht="12.75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</row>
    <row r="733" spans="1:11" s="131" customFormat="1" ht="12.75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</row>
    <row r="734" spans="1:11" s="131" customFormat="1" ht="12.75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</row>
    <row r="735" spans="1:11" s="131" customFormat="1" ht="12.75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</row>
    <row r="736" spans="1:11" s="131" customFormat="1" ht="12.75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</row>
    <row r="737" spans="1:11" s="131" customFormat="1" ht="12.75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</row>
    <row r="738" spans="1:11" s="131" customFormat="1" ht="12.75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</row>
    <row r="739" spans="1:11" s="131" customFormat="1" ht="12.75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</row>
    <row r="740" spans="1:11" s="131" customFormat="1" ht="12.75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</row>
    <row r="741" spans="1:11" s="131" customFormat="1" ht="12.75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</row>
    <row r="742" spans="1:11" s="131" customFormat="1" ht="12.75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</row>
    <row r="743" spans="1:11" s="131" customFormat="1" ht="12.75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</row>
    <row r="744" spans="1:11" s="131" customFormat="1" ht="12.75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</row>
    <row r="745" spans="1:11" s="131" customFormat="1" ht="12.75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</row>
    <row r="746" spans="1:11" s="131" customFormat="1" ht="12.75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</row>
    <row r="747" spans="1:11" s="131" customFormat="1" ht="12.75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</row>
    <row r="748" spans="1:11" s="131" customFormat="1" ht="12.75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</row>
    <row r="749" spans="1:11" s="131" customFormat="1" ht="12.75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</row>
    <row r="750" spans="1:11" s="131" customFormat="1" ht="12.75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</row>
    <row r="751" spans="1:11" s="131" customFormat="1" ht="12.75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</row>
    <row r="752" spans="1:11" s="131" customFormat="1" ht="12.75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</row>
    <row r="753" spans="1:11" s="131" customFormat="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s="131" customFormat="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s="131" customFormat="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s="131" customFormat="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s="131" customFormat="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s="131" customFormat="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s="131" customFormat="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s="131" customFormat="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s="131" customFormat="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s="131" customFormat="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s="131" customFormat="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s="131" customFormat="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s="131" customFormat="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s="131" customFormat="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s="131" customFormat="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s="131" customFormat="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s="131" customFormat="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s="131" customFormat="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s="131" customFormat="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s="131" customFormat="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s="131" customFormat="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s="131" customFormat="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s="131" customFormat="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s="131" customFormat="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s="131" customFormat="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s="131" customFormat="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s="131" customFormat="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s="131" customFormat="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s="131" customFormat="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s="131" customFormat="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s="131" customFormat="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s="131" customFormat="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s="131" customFormat="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s="131" customFormat="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s="131" customFormat="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s="131" customFormat="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s="131" customFormat="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s="131" customFormat="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s="131" customFormat="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s="131" customFormat="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s="131" customFormat="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s="131" customFormat="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s="131" customFormat="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s="131" customFormat="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s="131" customFormat="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s="131" customFormat="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s="131" customFormat="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s="131" customFormat="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s="131" customFormat="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s="131" customFormat="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s="131" customFormat="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s="131" customFormat="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s="131" customFormat="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s="131" customFormat="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s="131" customFormat="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s="131" customFormat="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s="131" customFormat="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s="131" customFormat="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s="131" customFormat="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s="131" customFormat="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s="131" customFormat="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s="131" customFormat="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15" spans="1:11" s="131" customFormat="1" ht="12.75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</row>
    <row r="816" spans="1:11" s="131" customFormat="1" ht="12.75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</row>
    <row r="817" spans="1:11" s="131" customFormat="1" ht="12.75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</row>
    <row r="818" spans="1:11" s="131" customFormat="1" ht="12.75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</row>
    <row r="819" spans="1:11" s="131" customFormat="1" ht="12.75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</row>
    <row r="820" spans="1:11" s="131" customFormat="1" ht="12.75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</row>
    <row r="821" spans="1:11" s="131" customFormat="1" ht="12.75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</row>
    <row r="822" spans="1:11" s="131" customFormat="1" ht="12.75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</row>
    <row r="823" spans="1:11" s="131" customFormat="1" ht="12.75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</row>
    <row r="824" spans="1:11" s="131" customFormat="1" ht="12.75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</row>
    <row r="825" spans="1:11" s="131" customFormat="1" ht="12.75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</row>
    <row r="826" spans="1:11" s="131" customFormat="1" ht="12.75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</row>
    <row r="827" spans="1:11" s="131" customFormat="1" ht="12.75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</row>
    <row r="828" spans="1:11" s="131" customFormat="1" ht="12.75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</row>
    <row r="829" spans="1:11" s="131" customFormat="1" ht="12.75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</row>
    <row r="830" spans="1:11" s="131" customFormat="1" ht="12.75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</row>
    <row r="831" spans="1:11" s="131" customFormat="1" ht="12.75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</row>
    <row r="832" spans="1:11" s="131" customFormat="1" ht="12.75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</row>
    <row r="833" spans="1:11" s="131" customFormat="1" ht="12.75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</row>
    <row r="834" spans="1:11" s="131" customFormat="1" ht="12.75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</row>
    <row r="835" spans="1:11" s="131" customFormat="1" ht="12.75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</row>
    <row r="836" spans="1:11" s="131" customFormat="1" ht="12.75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</row>
    <row r="837" spans="1:11" s="131" customFormat="1" ht="12.75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</row>
    <row r="838" spans="1:11" s="131" customFormat="1" ht="12.75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</row>
    <row r="839" spans="1:11" s="131" customFormat="1" ht="12.75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</row>
    <row r="840" spans="1:11" s="131" customFormat="1" ht="12.75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</row>
    <row r="841" spans="1:11" s="131" customFormat="1" ht="12.75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</row>
    <row r="842" spans="1:11" s="131" customFormat="1" ht="12.75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</row>
    <row r="843" spans="1:11" s="131" customFormat="1" ht="12.75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</row>
    <row r="844" spans="1:11" s="131" customFormat="1" ht="12.75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</row>
    <row r="845" spans="1:11" s="131" customFormat="1" ht="12.75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</row>
    <row r="846" spans="1:11" s="131" customFormat="1" ht="12.75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</row>
    <row r="847" spans="1:11" s="131" customFormat="1" ht="12.75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</row>
    <row r="848" spans="1:11" s="131" customFormat="1" ht="12.75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</row>
    <row r="849" spans="1:11" s="131" customFormat="1" ht="12.75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</sheetData>
  <mergeCells count="25">
    <mergeCell ref="J404:K404"/>
    <mergeCell ref="G420:H420"/>
    <mergeCell ref="D4:I4"/>
    <mergeCell ref="D8:I8"/>
    <mergeCell ref="D12:I12"/>
    <mergeCell ref="J460:K460"/>
    <mergeCell ref="A44:K44"/>
    <mergeCell ref="E133:J133"/>
    <mergeCell ref="C225:D225"/>
    <mergeCell ref="E225:F225"/>
    <mergeCell ref="G225:H225"/>
    <mergeCell ref="G366:H366"/>
    <mergeCell ref="B404:D404"/>
    <mergeCell ref="E404:F404"/>
    <mergeCell ref="H404:I404"/>
    <mergeCell ref="D1:I1"/>
    <mergeCell ref="B253:C253"/>
    <mergeCell ref="B254:C254"/>
    <mergeCell ref="I248:I249"/>
    <mergeCell ref="D247:E247"/>
    <mergeCell ref="B250:C250"/>
    <mergeCell ref="B251:C251"/>
    <mergeCell ref="B252:C252"/>
    <mergeCell ref="E120:H120"/>
    <mergeCell ref="E107:H107"/>
  </mergeCells>
  <hyperlinks>
    <hyperlink ref="I54" r:id="rId1" display="valentino_dinsi@yahoo"/>
    <hyperlink ref="J54" r:id="rId2" display="www.we - entrepreneurs.com"/>
  </hyperlinks>
  <printOptions horizontalCentered="1"/>
  <pageMargins left="0.3937007874015748" right="0" top="0.7874015748031497" bottom="0.3937007874015748" header="0.3937007874015748" footer="0.5118110236220472"/>
  <pageSetup horizontalDpi="600" verticalDpi="600" orientation="landscape" paperSize="9" scale="65" r:id="rId4"/>
  <headerFooter alignWithMargins="0">
    <oddHeader>&amp;CKlinik Tiara 2 - Page &amp;P</oddHeader>
  </headerFooter>
  <rowBreaks count="9" manualBreakCount="9">
    <brk id="43" max="255" man="1"/>
    <brk id="142" max="255" man="1"/>
    <brk id="192" max="255" man="1"/>
    <brk id="282" max="255" man="1"/>
    <brk id="340" max="255" man="1"/>
    <brk id="454" max="255" man="1"/>
    <brk id="500" max="255" man="1"/>
    <brk id="547" max="255" man="1"/>
    <brk id="596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E2" sqref="E2"/>
    </sheetView>
  </sheetViews>
  <sheetFormatPr defaultColWidth="9.140625" defaultRowHeight="12.75"/>
  <cols>
    <col min="2" max="2" width="12.57421875" style="0" customWidth="1"/>
    <col min="3" max="6" width="12.8515625" style="289" customWidth="1"/>
    <col min="7" max="7" width="12.28125" style="289" customWidth="1"/>
  </cols>
  <sheetData>
    <row r="1" spans="1:5" ht="12.75">
      <c r="A1" s="289"/>
      <c r="B1" s="289"/>
      <c r="C1" s="289">
        <v>2004</v>
      </c>
      <c r="D1" s="289">
        <f>C1+1</f>
        <v>2005</v>
      </c>
      <c r="E1" s="289">
        <f>D1+1</f>
        <v>2006</v>
      </c>
    </row>
    <row r="2" spans="3:7" ht="12.75">
      <c r="C2" s="290">
        <v>180000000</v>
      </c>
      <c r="D2" s="290">
        <v>189000000</v>
      </c>
      <c r="E2" s="290">
        <v>198450000</v>
      </c>
      <c r="F2" s="290"/>
      <c r="G2" s="29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Lembaga Manajemen 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 Names</dc:creator>
  <cp:keywords/>
  <dc:description/>
  <cp:lastModifiedBy>univ_indonusa</cp:lastModifiedBy>
  <cp:lastPrinted>2009-08-20T03:39:41Z</cp:lastPrinted>
  <dcterms:created xsi:type="dcterms:W3CDTF">2001-06-11T08:01:32Z</dcterms:created>
  <dcterms:modified xsi:type="dcterms:W3CDTF">2014-07-04T10:09:37Z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